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digipolis.sharepoint.com/teams/SW_KL/Gedeelde documenten/Team Ecohuis/RMP/EXTERN/Standaard documenten/04_Financiering/"/>
    </mc:Choice>
  </mc:AlternateContent>
  <xr:revisionPtr revIDLastSave="8853" documentId="8_{82284A69-5002-4758-B6C2-A70D021003D0}" xr6:coauthVersionLast="47" xr6:coauthVersionMax="47" xr10:uidLastSave="{1698B77F-E755-4BB9-A5FA-D35B956306DA}"/>
  <bookViews>
    <workbookView xWindow="28680" yWindow="-120" windowWidth="29040" windowHeight="15720" tabRatio="678" activeTab="2" xr2:uid="{44B9AFBD-2AC7-441A-B065-0ABAA72C7275}"/>
  </bookViews>
  <sheets>
    <sheet name="Handleiding" sheetId="76" r:id="rId1"/>
    <sheet name="Quotiteiten" sheetId="31" r:id="rId2"/>
    <sheet name="Raming" sheetId="77" r:id="rId3"/>
    <sheet name="Berekening" sheetId="33" r:id="rId4"/>
    <sheet name="Matrix kavel" sheetId="74" r:id="rId5"/>
    <sheet name="Aflossing VME MVL_lening 1" sheetId="41" r:id="rId6"/>
    <sheet name="Aflossing VME bank_lening 2" sheetId="32" r:id="rId7"/>
    <sheet name="Aflossing VME bank_lening 3" sheetId="71" r:id="rId8"/>
  </sheets>
  <definedNames>
    <definedName name="_1">#REF!</definedName>
    <definedName name="_2">#REF!</definedName>
    <definedName name="_3">#REF!</definedName>
    <definedName name="_4">#REF!</definedName>
    <definedName name="_5">#REF!</definedName>
    <definedName name="_C3A_Maître_Ouvrage.Nom_Maître_Ouvrage">#REF!</definedName>
    <definedName name="_C3A_Nom_dossier">#REF!</definedName>
    <definedName name="_C3A_Numéro_dossier">#REF!</definedName>
    <definedName name="_xlnm._FilterDatabase" localSheetId="3" hidden="1">Berekening!#REF!</definedName>
    <definedName name="_xlnm._FilterDatabase" localSheetId="1" hidden="1">Quotiteiten!$B$10:$F$30</definedName>
    <definedName name="_xlnm._FilterDatabase" localSheetId="2" hidden="1">Raming!$B$13:$L$24</definedName>
    <definedName name="_xlnm.Print_Area" localSheetId="6">'Aflossing VME bank_lening 2'!$A$1:$H$318</definedName>
    <definedName name="_xlnm.Print_Area" localSheetId="7">'Aflossing VME bank_lening 3'!$A$1:$H$318</definedName>
    <definedName name="_xlnm.Print_Area" localSheetId="5">'Aflossing VME MVL_lening 1'!$A$1:$H$317</definedName>
    <definedName name="_xlnm.Print_Area" localSheetId="3">Berekening!$A$1:$Q$25</definedName>
    <definedName name="_xlnm.Print_Area" localSheetId="0">Handleiding!$A$1:$A$28</definedName>
    <definedName name="_xlnm.Print_Area" localSheetId="4">'Matrix kavel'!$A$1:$G$30</definedName>
    <definedName name="_xlnm.Print_Area" localSheetId="1">Quotiteiten!$A$9:$G$38</definedName>
    <definedName name="_xlnm.Print_Area" localSheetId="2">Raming!$A$1:$L$35</definedName>
    <definedName name="Art_01.10.10.">#REF!</definedName>
    <definedName name="Art_01.10.20.">#REF!</definedName>
    <definedName name="Art_02.00.">#REF!</definedName>
    <definedName name="Art_02.11.">#REF!</definedName>
    <definedName name="Art_02.14.">#REF!</definedName>
    <definedName name="Art_02.21.">#REF!</definedName>
    <definedName name="Art_02.22.">#REF!</definedName>
    <definedName name="Art_02.23.10.">#REF!</definedName>
    <definedName name="Art_02.24.">#REF!</definedName>
    <definedName name="Art_02.25.">#REF!</definedName>
    <definedName name="Art_02.28.">#REF!</definedName>
    <definedName name="Art_02.30.">#REF!</definedName>
    <definedName name="Art_02.31.">#REF!</definedName>
    <definedName name="Art_02.32.">#REF!</definedName>
    <definedName name="Art_02.60.">#REF!</definedName>
    <definedName name="Art_02.63.">#REF!</definedName>
    <definedName name="Art_02.64.">#REF!</definedName>
    <definedName name="Art_02.70.">#REF!</definedName>
    <definedName name="Art_02.71.">#REF!</definedName>
    <definedName name="Art_02.72.">#REF!</definedName>
    <definedName name="Art_02.73.">#REF!</definedName>
    <definedName name="Art_02.80.">#REF!</definedName>
    <definedName name="Art_02.81.">#REF!</definedName>
    <definedName name="Art_02.81.10.">#REF!</definedName>
    <definedName name="Art_02.81.20.">#REF!</definedName>
    <definedName name="Art_02.82.">#REF!</definedName>
    <definedName name="Art_03.21.10.">#REF!</definedName>
    <definedName name="Art_03.32.20.">#REF!</definedName>
    <definedName name="Art_03.32.30.">#REF!</definedName>
    <definedName name="Art_03.32.32.">#REF!</definedName>
    <definedName name="Art_03.32.51.">#REF!</definedName>
    <definedName name="Art_03.32.70.">#REF!</definedName>
    <definedName name="Art_03.32.80.">#REF!</definedName>
    <definedName name="Art_03.32.90.">#REF!</definedName>
    <definedName name="Art_03.33.00.">#REF!</definedName>
    <definedName name="Art_03.33.20.">#REF!</definedName>
    <definedName name="Art_03.33.31.">#REF!</definedName>
    <definedName name="Art_03.33.32.">#REF!</definedName>
    <definedName name="Art_03.33.51.">#REF!</definedName>
    <definedName name="Art_03.33.60.">#REF!</definedName>
    <definedName name="Art_03.33.70.">#REF!</definedName>
    <definedName name="Art_03.41.">#REF!</definedName>
    <definedName name="Art_03.42.13.">#REF!</definedName>
    <definedName name="Art_03.43.10.">#REF!</definedName>
    <definedName name="Art_03.43.40.">#REF!</definedName>
    <definedName name="Art_03.44.20.">#REF!</definedName>
    <definedName name="Art_03.44.30.">#REF!</definedName>
    <definedName name="Art_03.44.40.">#REF!</definedName>
    <definedName name="Art_03.44.50.">#REF!</definedName>
    <definedName name="Art_03.44.60.">#REF!</definedName>
    <definedName name="Art_03.44.70.">#REF!</definedName>
    <definedName name="Art_03.46.">#REF!</definedName>
    <definedName name="Art_03.47.">#REF!</definedName>
    <definedName name="Art_03.49.">#REF!</definedName>
    <definedName name="Art_03.49.10.">#REF!</definedName>
    <definedName name="Art_03.61.">#REF!</definedName>
    <definedName name="Art_03.61.21.">#REF!</definedName>
    <definedName name="Art_03.61.22.">#REF!</definedName>
    <definedName name="Art_03.61.23.">#REF!</definedName>
    <definedName name="Art_03.71.">#REF!</definedName>
    <definedName name="Art_03.71.10.">#REF!</definedName>
    <definedName name="Art_03.72.">#REF!</definedName>
    <definedName name="Art_03.82.10.">#REF!</definedName>
    <definedName name="Art_03.82.20.">#REF!</definedName>
    <definedName name="Art_03.92.20.">#REF!</definedName>
    <definedName name="Art_14.43.">#REF!</definedName>
    <definedName name="Art_15.10.">#REF!</definedName>
    <definedName name="Art_17.24.">#REF!</definedName>
    <definedName name="Art_17.25.">#REF!</definedName>
    <definedName name="Art_20.">#REF!</definedName>
    <definedName name="Art_20.20.">#REF!</definedName>
    <definedName name="Art_20.21.">#REF!</definedName>
    <definedName name="Art_20.21.15.">#REF!</definedName>
    <definedName name="Art_20.21.30.">#REF!</definedName>
    <definedName name="Art_20.25.">#REF!</definedName>
    <definedName name="Art_20.25.10.">#REF!</definedName>
    <definedName name="Art_20.40.">#REF!</definedName>
    <definedName name="Art_20.41.">#REF!</definedName>
    <definedName name="Art_20.41.15.">#REF!</definedName>
    <definedName name="Art_20.50.">#REF!</definedName>
    <definedName name="Art_20.51.">#REF!</definedName>
    <definedName name="Art_20.51.10.">#REF!</definedName>
    <definedName name="Art_21.11.">#REF!</definedName>
    <definedName name="Art_21.11.20.">#REF!</definedName>
    <definedName name="Art_21.12.10.">#REF!</definedName>
    <definedName name="Art_21.21.10.">#REF!</definedName>
    <definedName name="Art_22.20.">#REF!</definedName>
    <definedName name="Art_22.21.">#REF!</definedName>
    <definedName name="Art_22.21.20.">#REF!</definedName>
    <definedName name="Art_22.29.">#REF!</definedName>
    <definedName name="Art_22.29.10.">#REF!</definedName>
    <definedName name="Art_22.31.">#REF!</definedName>
    <definedName name="Art_22.32.">#REF!</definedName>
    <definedName name="Art_22.34.">#REF!</definedName>
    <definedName name="Art_22.35.">#REF!</definedName>
    <definedName name="Art_23.11.">#REF!</definedName>
    <definedName name="Art_23.11.01.">#REF!</definedName>
    <definedName name="Art_23.12.">#REF!</definedName>
    <definedName name="Art_23.16.10.">#REF!</definedName>
    <definedName name="Art_23.60.">#REF!</definedName>
    <definedName name="Art_23.62.">#REF!</definedName>
    <definedName name="Art_26.12.11.">#REF!</definedName>
    <definedName name="Art_26.20.">#REF!</definedName>
    <definedName name="Art_26.26.">#REF!</definedName>
    <definedName name="Art_26.26.10.">#REF!</definedName>
    <definedName name="Art_26.34.">#REF!</definedName>
    <definedName name="Art_26.36.">#REF!</definedName>
    <definedName name="Art_26.36.10.">#REF!</definedName>
    <definedName name="Art_26.36.12.">#REF!</definedName>
    <definedName name="Art_26.36.20.">#REF!</definedName>
    <definedName name="Art_26.36.22.">#REF!</definedName>
    <definedName name="Art_26.37.10.">#REF!</definedName>
    <definedName name="Art_26.40.10.">#REF!</definedName>
    <definedName name="Art_26.40.20.">#REF!</definedName>
    <definedName name="Art_26.40.30.">#REF!</definedName>
    <definedName name="Art_26.40.50.">#REF!</definedName>
    <definedName name="Art_26.43.20.">#REF!</definedName>
    <definedName name="Art_26.47.">#REF!</definedName>
    <definedName name="Art_27.">#REF!</definedName>
    <definedName name="Art_27.30.">#REF!</definedName>
    <definedName name="Art_27.33.">#REF!</definedName>
    <definedName name="Art_34.12.30.">#REF!</definedName>
    <definedName name="Art_34.12.40.">#REF!</definedName>
    <definedName name="Art_34.16.10.">#REF!</definedName>
    <definedName name="Art_34.16.20.">#REF!</definedName>
    <definedName name="Art_34.20.">#REF!</definedName>
    <definedName name="Art_34.21.">#REF!</definedName>
    <definedName name="Art_35.11.20.">#REF!</definedName>
    <definedName name="Art_35.21.20.">#REF!</definedName>
    <definedName name="Art_35.27.">#REF!</definedName>
    <definedName name="Art_35.32.10.">#REF!</definedName>
    <definedName name="Art_35.32.31.">#REF!</definedName>
    <definedName name="Art_35.40.20.">#REF!</definedName>
    <definedName name="Art_35.40.30.">#REF!</definedName>
    <definedName name="Art_35.40.50.">#REF!</definedName>
    <definedName name="Art_35.42.">#REF!</definedName>
    <definedName name="Art_37.12.11.">#REF!</definedName>
    <definedName name="Art_37.12.14.">#REF!</definedName>
    <definedName name="Art_37.12.31.">#REF!</definedName>
    <definedName name="Art_37.12.33.">#REF!</definedName>
    <definedName name="Art_37.12.34.">#REF!</definedName>
    <definedName name="Art_37.12.35.">#REF!</definedName>
    <definedName name="Art_37.12.41.">#REF!</definedName>
    <definedName name="Art_37.20.">#REF!</definedName>
    <definedName name="Art_37.21.">#REF!</definedName>
    <definedName name="Art_37.21.20.">#REF!</definedName>
    <definedName name="Art_37.33.">#REF!</definedName>
    <definedName name="Art_38.30.">#REF!</definedName>
    <definedName name="Art_38.32.31.">#REF!</definedName>
    <definedName name="Art_38.33.">#REF!</definedName>
    <definedName name="Art_38.35.">#REF!</definedName>
    <definedName name="Art_38.51.">#REF!</definedName>
    <definedName name="Art_38.52.10.">#REF!</definedName>
    <definedName name="Art_38.53.">#REF!</definedName>
    <definedName name="Art_40.12.10.">#REF!</definedName>
    <definedName name="Art_40.12.21.">#REF!</definedName>
    <definedName name="Art_40.12.22.">#REF!</definedName>
    <definedName name="Art_40.12.23.">#REF!</definedName>
    <definedName name="Art_40.12.24.">#REF!</definedName>
    <definedName name="Art_40.12.25.">#REF!</definedName>
    <definedName name="Art_40.12.26.">#REF!</definedName>
    <definedName name="Art_40.12.27.">#REF!</definedName>
    <definedName name="Art_40.12.28.">#REF!</definedName>
    <definedName name="Art_40.12.29.">#REF!</definedName>
    <definedName name="Art_40.12.31.">#REF!</definedName>
    <definedName name="Art_40.12.32.">#REF!</definedName>
    <definedName name="Art_40.12.33.">#REF!</definedName>
    <definedName name="Art_40.12.41.">#REF!</definedName>
    <definedName name="Art_40.12.42.">#REF!</definedName>
    <definedName name="Art_40.12.60.">#REF!</definedName>
    <definedName name="Art_40.61.">#REF!</definedName>
    <definedName name="Art_40.87.10.">#REF!</definedName>
    <definedName name="Art_40.87.20.">#REF!</definedName>
    <definedName name="Art_40.87.30.">#REF!</definedName>
    <definedName name="Art_40.88.">#REF!</definedName>
    <definedName name="Art_42.21.10.">#REF!</definedName>
    <definedName name="Art_42.22.60.">#REF!</definedName>
    <definedName name="Art_42.45.">#REF!</definedName>
    <definedName name="Art_42.48.50.">#REF!</definedName>
    <definedName name="Art_42.49.41.">#REF!</definedName>
    <definedName name="Art_42.49.50.">#REF!</definedName>
    <definedName name="Art_43.10.">#REF!</definedName>
    <definedName name="Art_43.11.">#REF!</definedName>
    <definedName name="Art_43.22.11.">#REF!</definedName>
    <definedName name="Art_43.22.13.">#REF!</definedName>
    <definedName name="Art_43.22.15.">#REF!</definedName>
    <definedName name="Art_43.22.20.">#REF!</definedName>
    <definedName name="Art_43.22.40.">#REF!</definedName>
    <definedName name="Art_44.11.">#REF!</definedName>
    <definedName name="Art_44.11.10.">#REF!</definedName>
    <definedName name="Art_44.15.">#REF!</definedName>
    <definedName name="Art_44.24.">#REF!</definedName>
    <definedName name="Art_44.25.">#REF!</definedName>
    <definedName name="Art_44.27.12.">#REF!</definedName>
    <definedName name="Art_44.27.21.">#REF!</definedName>
    <definedName name="Art_44.71.10.">#REF!</definedName>
    <definedName name="Art_44.71.20.">#REF!</definedName>
    <definedName name="Art_44.71.30.">#REF!</definedName>
    <definedName name="Art_44.80.">#REF!</definedName>
    <definedName name="Art_50.11.11.">#REF!</definedName>
    <definedName name="Art_50.11.12.">#REF!</definedName>
    <definedName name="Art_50.11.32.">#REF!</definedName>
    <definedName name="Art_50.20.">#REF!</definedName>
    <definedName name="Art_50.21.">#REF!</definedName>
    <definedName name="Art_50.21.10.">#REF!</definedName>
    <definedName name="Art_50.21.11.">#REF!</definedName>
    <definedName name="Art_51.">#REF!</definedName>
    <definedName name="Art_51.20.">#REF!</definedName>
    <definedName name="Art_51.21.">#REF!</definedName>
    <definedName name="Art_51.21.10.">#REF!</definedName>
    <definedName name="Art_51.22.">#REF!</definedName>
    <definedName name="Art_51.22.10.">#REF!</definedName>
    <definedName name="Art_51.50.">#REF!</definedName>
    <definedName name="Art_51.53.">#REF!</definedName>
    <definedName name="Art_51.53.10.">#REF!</definedName>
    <definedName name="Art_52.10.">#REF!</definedName>
    <definedName name="Art_52.11.">#REF!</definedName>
    <definedName name="Art_52.40.">#REF!</definedName>
    <definedName name="Art_52.41.">#REF!</definedName>
    <definedName name="Art_52.50.">#REF!</definedName>
    <definedName name="Art_52.51.">#REF!</definedName>
    <definedName name="Art_52.73.">#REF!</definedName>
    <definedName name="Art_53.">#REF!</definedName>
    <definedName name="Art_53.10.">#REF!</definedName>
    <definedName name="Art_53.11.">#REF!</definedName>
    <definedName name="Art_53.11.20.">#REF!</definedName>
    <definedName name="Art_53.30.">#REF!</definedName>
    <definedName name="Art_53.31.">#REF!</definedName>
    <definedName name="Art_54.">#REF!</definedName>
    <definedName name="Art_54.30.">#REF!</definedName>
    <definedName name="Art_54.31.">#REF!</definedName>
    <definedName name="Art_54.40.">#REF!</definedName>
    <definedName name="Art_54.41.">#REF!</definedName>
    <definedName name="Art_55.">#REF!</definedName>
    <definedName name="Art_55.10.">#REF!</definedName>
    <definedName name="Art_55.11.">#REF!</definedName>
    <definedName name="Art_55.11.10.">#REF!</definedName>
    <definedName name="Art_55.13.">#REF!</definedName>
    <definedName name="Art_55.13.10.">#REF!</definedName>
    <definedName name="Art_56.">#REF!</definedName>
    <definedName name="Art_56.10.">#REF!</definedName>
    <definedName name="Art_57.">#REF!</definedName>
    <definedName name="Art_57.10.">#REF!</definedName>
    <definedName name="Art_57.13.">#REF!</definedName>
    <definedName name="Art_57.13.10.">#REF!</definedName>
    <definedName name="Art_60.">#REF!</definedName>
    <definedName name="Art_60.00.">#REF!</definedName>
    <definedName name="Art_61.">#REF!</definedName>
    <definedName name="Art_61.10.">#REF!</definedName>
    <definedName name="Art_61.12.">#REF!</definedName>
    <definedName name="Art_61.30.">#REF!</definedName>
    <definedName name="Art_61.31.">#REF!</definedName>
    <definedName name="Art_61.32.">#REF!</definedName>
    <definedName name="Art_61.50.">#REF!</definedName>
    <definedName name="Art_61.51.">#REF!</definedName>
    <definedName name="Art_65.">#REF!</definedName>
    <definedName name="Art_65.00.">#REF!</definedName>
    <definedName name="Art_66.">#REF!</definedName>
    <definedName name="Art_66.10.">#REF!</definedName>
    <definedName name="Art_66.14.">#REF!</definedName>
    <definedName name="Art_68.00.">#REF!</definedName>
    <definedName name="Art_68.63.">#REF!</definedName>
    <definedName name="Art_69.15.10.">#REF!</definedName>
    <definedName name="Art_69.23.">#REF!</definedName>
    <definedName name="Art_69.24.">#REF!</definedName>
    <definedName name="Art_70.">#REF!</definedName>
    <definedName name="Art_70.00.">#REF!</definedName>
    <definedName name="Art_75.">#REF!</definedName>
    <definedName name="Art_75.00.">#REF!</definedName>
    <definedName name="Art_79.11.">#REF!</definedName>
    <definedName name="Art_93.43.">#REF!</definedName>
    <definedName name="Art_99.">#REF!</definedName>
    <definedName name="Art_99.10.">#REF!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 i="77" l="1" a="1"/>
  <c r="L10" i="77" s="1"/>
  <c r="L9" i="77" a="1"/>
  <c r="L9" i="77" s="1"/>
  <c r="L8" i="77" a="1"/>
  <c r="L8" i="77" s="1"/>
  <c r="L7" i="77" a="1"/>
  <c r="L7" i="77" s="1"/>
  <c r="L6" i="77" a="1"/>
  <c r="L6" i="77" s="1"/>
  <c r="L5" i="77" a="1"/>
  <c r="L5" i="77" s="1"/>
  <c r="K10" i="77" a="1"/>
  <c r="K10" i="77" s="1"/>
  <c r="K9" i="77" a="1"/>
  <c r="K9" i="77" s="1"/>
  <c r="K8" i="77" a="1"/>
  <c r="K8" i="77" s="1"/>
  <c r="K7" i="77" a="1"/>
  <c r="K7" i="77" s="1"/>
  <c r="K6" i="77" a="1"/>
  <c r="K6" i="77" s="1"/>
  <c r="K5" i="77" a="1"/>
  <c r="K5" i="77" s="1"/>
  <c r="G12" i="33" s="1" a="1"/>
  <c r="G12" i="33" s="1"/>
  <c r="J10" i="77" a="1"/>
  <c r="J10" i="77" s="1"/>
  <c r="J9" i="77" a="1"/>
  <c r="J9" i="77" s="1"/>
  <c r="J8" i="77" a="1"/>
  <c r="J8" i="77" s="1"/>
  <c r="J7" i="77" a="1"/>
  <c r="J7" i="77" s="1"/>
  <c r="J6" i="77" a="1"/>
  <c r="J6" i="77" s="1"/>
  <c r="J5" i="77" a="1"/>
  <c r="J5" i="77" s="1"/>
  <c r="I10" i="77" a="1"/>
  <c r="I10" i="77" s="1"/>
  <c r="I9" i="77" a="1"/>
  <c r="I9" i="77" s="1"/>
  <c r="I8" i="77" a="1"/>
  <c r="I8" i="77" s="1"/>
  <c r="I7" i="77" a="1"/>
  <c r="I7" i="77" s="1"/>
  <c r="I6" i="77" a="1"/>
  <c r="I6" i="77" s="1"/>
  <c r="I5" i="77" a="1"/>
  <c r="I5" i="77" s="1"/>
  <c r="H10" i="77" a="1"/>
  <c r="H10" i="77" s="1"/>
  <c r="H9" i="77" a="1"/>
  <c r="H9" i="77" s="1"/>
  <c r="H8" i="77" a="1"/>
  <c r="H8" i="77" s="1"/>
  <c r="H7" i="77" a="1"/>
  <c r="H7" i="77" s="1"/>
  <c r="H6" i="77" a="1"/>
  <c r="H6" i="77" s="1"/>
  <c r="H5" i="77" a="1"/>
  <c r="H5" i="77" s="1"/>
  <c r="G10" i="77" a="1"/>
  <c r="G10" i="77" s="1"/>
  <c r="G9" i="77" a="1"/>
  <c r="G9" i="77" s="1"/>
  <c r="G8" i="77" a="1"/>
  <c r="G8" i="77" s="1"/>
  <c r="G7" i="77" a="1"/>
  <c r="G7" i="77" s="1"/>
  <c r="G6" i="77" a="1"/>
  <c r="G6" i="77" s="1"/>
  <c r="G5" i="77" a="1"/>
  <c r="G5" i="77" s="1"/>
  <c r="F10" i="77" a="1"/>
  <c r="F10" i="77" s="1"/>
  <c r="F9" i="77" a="1"/>
  <c r="F9" i="77" s="1"/>
  <c r="F8" i="77" a="1"/>
  <c r="F8" i="77" s="1"/>
  <c r="F7" i="77" a="1"/>
  <c r="F7" i="77" s="1"/>
  <c r="F6" i="77" a="1"/>
  <c r="F6" i="77" s="1"/>
  <c r="F5" i="77" a="1"/>
  <c r="F5" i="77" s="1"/>
  <c r="E10" i="77" a="1"/>
  <c r="E10" i="77" s="1"/>
  <c r="E9" i="77" a="1"/>
  <c r="E9" i="77" s="1"/>
  <c r="E8" i="77" a="1"/>
  <c r="E8" i="77" s="1"/>
  <c r="E7" i="77" a="1"/>
  <c r="E7" i="77" s="1"/>
  <c r="E6" i="77" a="1"/>
  <c r="E6" i="77" s="1"/>
  <c r="E5" i="77" a="1"/>
  <c r="E5" i="77" s="1"/>
  <c r="D5" i="77" a="1"/>
  <c r="D5" i="77" s="1"/>
  <c r="D10" i="77" a="1"/>
  <c r="D10" i="77" s="1"/>
  <c r="D9" i="77" a="1"/>
  <c r="D9" i="77" s="1"/>
  <c r="D8" i="77" a="1"/>
  <c r="D8" i="77" s="1"/>
  <c r="D7" i="77" a="1"/>
  <c r="D7" i="77" s="1"/>
  <c r="D6" i="77" a="1"/>
  <c r="D6" i="77" s="1"/>
  <c r="D16" i="33" a="1"/>
  <c r="D16" i="33" s="1"/>
  <c r="D5" i="33" a="1"/>
  <c r="D5" i="33" s="1"/>
  <c r="D6" i="33" a="1"/>
  <c r="D6" i="33" s="1"/>
  <c r="D7" i="33" a="1"/>
  <c r="D7" i="33" s="1"/>
  <c r="D8" i="33" a="1"/>
  <c r="D8" i="33" s="1"/>
  <c r="D9" i="33" a="1"/>
  <c r="D9" i="33" s="1"/>
  <c r="D10" i="33" a="1"/>
  <c r="D10" i="33" s="1"/>
  <c r="D11" i="33" a="1"/>
  <c r="D11" i="33" s="1"/>
  <c r="D12" i="33" a="1"/>
  <c r="D12" i="33" s="1"/>
  <c r="D13" i="33" a="1"/>
  <c r="D13" i="33" s="1"/>
  <c r="G7" i="33" l="1" a="1"/>
  <c r="G7" i="33" s="1"/>
  <c r="G5" i="33" a="1"/>
  <c r="G5" i="33" s="1"/>
  <c r="G6" i="33" a="1"/>
  <c r="G6" i="33" s="1"/>
  <c r="F11" i="33"/>
  <c r="D23" i="33" a="1"/>
  <c r="D23" i="33" s="1"/>
  <c r="C5" i="31"/>
  <c r="D22" i="33" a="1"/>
  <c r="D22" i="33" s="1"/>
  <c r="F22" i="33" s="1"/>
  <c r="F20" i="31" l="1"/>
  <c r="F21" i="31"/>
  <c r="F22" i="31"/>
  <c r="F23" i="31"/>
  <c r="F24" i="31"/>
  <c r="F25" i="31"/>
  <c r="F26" i="31"/>
  <c r="G9" i="33" l="1" a="1"/>
  <c r="G9" i="33" s="1"/>
  <c r="G11" i="33" a="1"/>
  <c r="G11" i="33" s="1"/>
  <c r="G13" i="33" a="1"/>
  <c r="G13" i="33" s="1"/>
  <c r="G8" i="33" a="1"/>
  <c r="G8" i="33" s="1"/>
  <c r="D21" i="33" a="1"/>
  <c r="D21" i="33" s="1"/>
  <c r="D20" i="33" a="1"/>
  <c r="D20" i="33" s="1"/>
  <c r="D14" i="33" a="1"/>
  <c r="D14" i="33" s="1"/>
  <c r="D15" i="33" a="1"/>
  <c r="D15" i="33" s="1"/>
  <c r="D17" i="33" a="1"/>
  <c r="D17" i="33" s="1"/>
  <c r="D18" i="33" a="1"/>
  <c r="D18" i="33" s="1"/>
  <c r="I6" i="33" l="1"/>
  <c r="C10" i="77"/>
  <c r="C9" i="77"/>
  <c r="C8" i="77"/>
  <c r="C7" i="77"/>
  <c r="C6" i="77"/>
  <c r="C5" i="77"/>
  <c r="F12" i="31" l="1"/>
  <c r="F13" i="31"/>
  <c r="F14" i="31"/>
  <c r="F17" i="31"/>
  <c r="F18" i="31"/>
  <c r="F19" i="31"/>
  <c r="F27" i="31"/>
  <c r="F28" i="31"/>
  <c r="F29" i="31"/>
  <c r="F30" i="31"/>
  <c r="F6" i="33"/>
  <c r="F7" i="33"/>
  <c r="F8" i="33"/>
  <c r="F9" i="33"/>
  <c r="G10" i="33" l="1" a="1"/>
  <c r="G10" i="33" s="1"/>
  <c r="F13" i="33"/>
  <c r="I5" i="33"/>
  <c r="E4" i="31" l="1" a="1"/>
  <c r="E4" i="31" s="1"/>
  <c r="B3" i="74" s="1"/>
  <c r="I12" i="33"/>
  <c r="I8" i="33"/>
  <c r="E5" i="31" a="1"/>
  <c r="E5" i="31" s="1"/>
  <c r="I10" i="33"/>
  <c r="N2" i="33" l="1"/>
  <c r="J2" i="33"/>
  <c r="Q1" i="33"/>
  <c r="F21" i="33" l="1"/>
  <c r="F23" i="33"/>
  <c r="F20" i="33"/>
  <c r="F18" i="33"/>
  <c r="D4" i="33" l="1"/>
  <c r="B12" i="74"/>
  <c r="B11" i="74"/>
  <c r="B8" i="74"/>
  <c r="B9" i="74"/>
  <c r="F10" i="33"/>
  <c r="F12" i="33"/>
  <c r="F14" i="33"/>
  <c r="F15" i="33"/>
  <c r="F16" i="33"/>
  <c r="F17" i="33"/>
  <c r="F5" i="33"/>
  <c r="D54" i="33" l="1"/>
  <c r="F4" i="33"/>
  <c r="C4" i="31"/>
  <c r="C6" i="31" s="1"/>
  <c r="I16" i="33" l="1"/>
  <c r="I17" i="33"/>
  <c r="D51" i="33"/>
  <c r="D50" i="33"/>
  <c r="D49" i="33"/>
  <c r="B34" i="33" l="1"/>
  <c r="C28" i="33"/>
  <c r="F11" i="31"/>
  <c r="F15" i="31"/>
  <c r="F16" i="31"/>
  <c r="D4" i="31"/>
  <c r="D6" i="31" l="1"/>
  <c r="D5" i="31"/>
  <c r="L43" i="33"/>
  <c r="J5" i="33" s="1"/>
  <c r="C45" i="33"/>
  <c r="C43" i="33"/>
  <c r="B7" i="71"/>
  <c r="B7" i="32"/>
  <c r="B7" i="41"/>
  <c r="B5" i="71" l="1"/>
  <c r="D45" i="33" s="1"/>
  <c r="I24" i="33" l="1"/>
  <c r="C31" i="33" l="1"/>
  <c r="C40" i="33" l="1"/>
  <c r="D19" i="33" l="1"/>
  <c r="F19" i="33" s="1"/>
  <c r="B5" i="32"/>
  <c r="D43" i="33" s="1"/>
  <c r="N43" i="33"/>
  <c r="J43" i="33" l="1"/>
  <c r="D24" i="33"/>
  <c r="J8" i="33" l="1"/>
  <c r="K7" i="33"/>
  <c r="K6" i="33"/>
  <c r="J6" i="33"/>
  <c r="N5" i="33" s="1"/>
  <c r="K12" i="33"/>
  <c r="K15" i="33"/>
  <c r="K11" i="33"/>
  <c r="K13" i="33"/>
  <c r="K16" i="33"/>
  <c r="K18" i="33"/>
  <c r="K9" i="33"/>
  <c r="K10" i="33"/>
  <c r="K14" i="33"/>
  <c r="K17" i="33"/>
  <c r="K8" i="33"/>
  <c r="K5" i="33"/>
  <c r="L46" i="33"/>
  <c r="J17" i="33"/>
  <c r="J16" i="33"/>
  <c r="J10" i="33"/>
  <c r="J12" i="33"/>
  <c r="N12" i="33" s="1"/>
  <c r="F24" i="33"/>
  <c r="Q5" i="33" l="1"/>
  <c r="M5" i="33" s="1"/>
  <c r="Q10" i="33"/>
  <c r="M10" i="33" s="1"/>
  <c r="P10" i="33"/>
  <c r="L10" i="33" s="1"/>
  <c r="P8" i="33"/>
  <c r="L8" i="33" s="1"/>
  <c r="Q8" i="33"/>
  <c r="M8" i="33" s="1"/>
  <c r="P5" i="33"/>
  <c r="L5" i="33" s="1"/>
  <c r="L45" i="33"/>
  <c r="C27" i="33"/>
  <c r="P14" i="33"/>
  <c r="Q14" i="33"/>
  <c r="Q15" i="33"/>
  <c r="P15" i="33"/>
  <c r="Q12" i="33"/>
  <c r="M12" i="33" s="1"/>
  <c r="P12" i="33"/>
  <c r="L12" i="33" s="1"/>
  <c r="J24" i="33"/>
  <c r="K24" i="33"/>
  <c r="O5" i="33"/>
  <c r="N10" i="33"/>
  <c r="O10" i="33" s="1"/>
  <c r="O12" i="33"/>
  <c r="N8" i="33"/>
  <c r="D55" i="33"/>
  <c r="C29" i="33" s="1"/>
  <c r="G54" i="33"/>
  <c r="D28" i="33" s="1"/>
  <c r="E24" i="33"/>
  <c r="N24" i="33" l="1"/>
  <c r="G18" i="74" s="1"/>
  <c r="P24" i="33"/>
  <c r="G20" i="74" s="1"/>
  <c r="O8" i="33"/>
  <c r="O24" i="33" s="1"/>
  <c r="G19" i="74" s="1"/>
  <c r="D22" i="74"/>
  <c r="C22" i="74"/>
  <c r="E22" i="74"/>
  <c r="F22" i="74"/>
  <c r="C5" i="74"/>
  <c r="C14" i="74" s="1"/>
  <c r="C18" i="74"/>
  <c r="E45" i="33"/>
  <c r="G55" i="33"/>
  <c r="D29" i="33" s="1"/>
  <c r="C25" i="74" l="1"/>
  <c r="C20" i="74"/>
  <c r="C19" i="74"/>
  <c r="C26" i="74" s="1"/>
  <c r="C27" i="74"/>
  <c r="B4" i="71"/>
  <c r="E11" i="71" s="1"/>
  <c r="E46" i="33" l="1"/>
  <c r="G46" i="33" s="1"/>
  <c r="E8" i="71"/>
  <c r="E9" i="71" s="1"/>
  <c r="E5" i="71"/>
  <c r="E6" i="71" s="1"/>
  <c r="E17" i="71"/>
  <c r="D18" i="71" s="1"/>
  <c r="B13" i="71"/>
  <c r="B9" i="71"/>
  <c r="B12" i="71" s="1"/>
  <c r="E40" i="33"/>
  <c r="F15" i="74" l="1"/>
  <c r="B14" i="71"/>
  <c r="B4" i="41"/>
  <c r="E11" i="41" s="1"/>
  <c r="B269" i="71"/>
  <c r="B230" i="71"/>
  <c r="B69" i="71"/>
  <c r="B151" i="71"/>
  <c r="B247" i="71"/>
  <c r="B288" i="71"/>
  <c r="B185" i="71"/>
  <c r="B281" i="71"/>
  <c r="B153" i="71"/>
  <c r="B117" i="71"/>
  <c r="B85" i="71"/>
  <c r="B63" i="71"/>
  <c r="B200" i="71"/>
  <c r="B193" i="71"/>
  <c r="B114" i="71"/>
  <c r="B285" i="71"/>
  <c r="B109" i="71"/>
  <c r="B167" i="71"/>
  <c r="B304" i="71"/>
  <c r="B97" i="71"/>
  <c r="B158" i="71"/>
  <c r="B79" i="71"/>
  <c r="B216" i="71"/>
  <c r="B305" i="71"/>
  <c r="B212" i="71"/>
  <c r="B301" i="71"/>
  <c r="B141" i="71"/>
  <c r="B279" i="71"/>
  <c r="B217" i="71"/>
  <c r="B220" i="71"/>
  <c r="B173" i="71"/>
  <c r="B270" i="71"/>
  <c r="B95" i="71"/>
  <c r="B287" i="71"/>
  <c r="B48" i="71"/>
  <c r="B61" i="71"/>
  <c r="B228" i="71"/>
  <c r="B182" i="71"/>
  <c r="B103" i="71"/>
  <c r="B144" i="71"/>
  <c r="B268" i="71"/>
  <c r="B205" i="71"/>
  <c r="B286" i="71"/>
  <c r="B102" i="71"/>
  <c r="B303" i="71"/>
  <c r="B89" i="71"/>
  <c r="B276" i="71"/>
  <c r="B28" i="71"/>
  <c r="B221" i="71"/>
  <c r="B94" i="71"/>
  <c r="B198" i="71"/>
  <c r="B294" i="71"/>
  <c r="B213" i="71"/>
  <c r="B23" i="71"/>
  <c r="B119" i="71"/>
  <c r="B215" i="71"/>
  <c r="B311" i="71"/>
  <c r="B160" i="71"/>
  <c r="B256" i="71"/>
  <c r="B113" i="71"/>
  <c r="B249" i="71"/>
  <c r="B80" i="71"/>
  <c r="B18" i="71"/>
  <c r="C18" i="71" s="1"/>
  <c r="E18" i="71" s="1"/>
  <c r="D19" i="71" s="1"/>
  <c r="B250" i="71"/>
  <c r="B142" i="71"/>
  <c r="B22" i="71"/>
  <c r="B159" i="71"/>
  <c r="B296" i="71"/>
  <c r="B27" i="71"/>
  <c r="B150" i="71"/>
  <c r="B38" i="71"/>
  <c r="B263" i="71"/>
  <c r="B201" i="71"/>
  <c r="B67" i="71"/>
  <c r="B293" i="71"/>
  <c r="B46" i="71"/>
  <c r="B120" i="71"/>
  <c r="B174" i="71"/>
  <c r="B70" i="71"/>
  <c r="B191" i="71"/>
  <c r="B232" i="71"/>
  <c r="B225" i="71"/>
  <c r="B178" i="71"/>
  <c r="B189" i="71"/>
  <c r="B278" i="71"/>
  <c r="B199" i="71"/>
  <c r="B41" i="71"/>
  <c r="B145" i="71"/>
  <c r="B10" i="71"/>
  <c r="B78" i="71"/>
  <c r="B197" i="71"/>
  <c r="B207" i="71"/>
  <c r="B248" i="71"/>
  <c r="B241" i="71"/>
  <c r="B242" i="71"/>
  <c r="B53" i="71"/>
  <c r="B237" i="71"/>
  <c r="B110" i="71"/>
  <c r="B206" i="71"/>
  <c r="B302" i="71"/>
  <c r="B229" i="71"/>
  <c r="B31" i="71"/>
  <c r="B127" i="71"/>
  <c r="B223" i="71"/>
  <c r="B20" i="71"/>
  <c r="B168" i="71"/>
  <c r="B264" i="71"/>
  <c r="B137" i="71"/>
  <c r="B257" i="71"/>
  <c r="B96" i="71"/>
  <c r="B58" i="71"/>
  <c r="B258" i="71"/>
  <c r="B101" i="71"/>
  <c r="B64" i="71"/>
  <c r="B65" i="71"/>
  <c r="B238" i="71"/>
  <c r="B88" i="71"/>
  <c r="B73" i="71"/>
  <c r="B133" i="71"/>
  <c r="B71" i="71"/>
  <c r="B208" i="71"/>
  <c r="B297" i="71"/>
  <c r="B149" i="71"/>
  <c r="B125" i="71"/>
  <c r="B271" i="71"/>
  <c r="B209" i="71"/>
  <c r="B105" i="71"/>
  <c r="B166" i="71"/>
  <c r="B87" i="71"/>
  <c r="B224" i="71"/>
  <c r="B162" i="71"/>
  <c r="B30" i="71"/>
  <c r="F45" i="33"/>
  <c r="G45" i="33" s="1"/>
  <c r="B181" i="71"/>
  <c r="B240" i="71"/>
  <c r="B210" i="71"/>
  <c r="B111" i="71"/>
  <c r="B177" i="71"/>
  <c r="B77" i="71"/>
  <c r="B245" i="71"/>
  <c r="B118" i="71"/>
  <c r="B214" i="71"/>
  <c r="B310" i="71"/>
  <c r="B253" i="71"/>
  <c r="B39" i="71"/>
  <c r="B135" i="71"/>
  <c r="B231" i="71"/>
  <c r="B29" i="71"/>
  <c r="B176" i="71"/>
  <c r="B272" i="71"/>
  <c r="B161" i="71"/>
  <c r="B265" i="71"/>
  <c r="B33" i="71"/>
  <c r="B90" i="71"/>
  <c r="B266" i="71"/>
  <c r="B134" i="71"/>
  <c r="B55" i="71"/>
  <c r="B192" i="71"/>
  <c r="B106" i="71"/>
  <c r="B277" i="71"/>
  <c r="B255" i="71"/>
  <c r="B289" i="71"/>
  <c r="B246" i="71"/>
  <c r="B104" i="71"/>
  <c r="B146" i="71"/>
  <c r="B254" i="71"/>
  <c r="B175" i="71"/>
  <c r="B312" i="71"/>
  <c r="B154" i="71"/>
  <c r="B157" i="71"/>
  <c r="B262" i="71"/>
  <c r="B62" i="71"/>
  <c r="B183" i="71"/>
  <c r="B128" i="71"/>
  <c r="B37" i="71"/>
  <c r="B313" i="71"/>
  <c r="B121" i="71"/>
  <c r="B165" i="71"/>
  <c r="B136" i="71"/>
  <c r="B129" i="71"/>
  <c r="B54" i="71"/>
  <c r="B86" i="71"/>
  <c r="B295" i="71"/>
  <c r="B233" i="71"/>
  <c r="B32" i="71"/>
  <c r="B190" i="71"/>
  <c r="B152" i="71"/>
  <c r="B56" i="71"/>
  <c r="B93" i="71"/>
  <c r="B261" i="71"/>
  <c r="B126" i="71"/>
  <c r="B222" i="71"/>
  <c r="B45" i="71"/>
  <c r="B309" i="71"/>
  <c r="B47" i="71"/>
  <c r="B143" i="71"/>
  <c r="B239" i="71"/>
  <c r="B24" i="71"/>
  <c r="B184" i="71"/>
  <c r="B280" i="71"/>
  <c r="B169" i="71"/>
  <c r="B273" i="71"/>
  <c r="B57" i="71"/>
  <c r="B98" i="71"/>
  <c r="B274" i="71"/>
  <c r="B282" i="71"/>
  <c r="B298" i="71"/>
  <c r="B112" i="71"/>
  <c r="B25" i="71"/>
  <c r="B49" i="71"/>
  <c r="B81" i="71"/>
  <c r="B300" i="71"/>
  <c r="B19" i="71"/>
  <c r="B284" i="71"/>
  <c r="B50" i="71"/>
  <c r="B170" i="71"/>
  <c r="B290" i="71"/>
  <c r="B59" i="71"/>
  <c r="B292" i="71"/>
  <c r="B66" i="71"/>
  <c r="B186" i="71"/>
  <c r="B306" i="71"/>
  <c r="B75" i="71"/>
  <c r="B74" i="71"/>
  <c r="B194" i="71"/>
  <c r="B40" i="71"/>
  <c r="B83" i="71"/>
  <c r="B82" i="71"/>
  <c r="B202" i="71"/>
  <c r="B72" i="71"/>
  <c r="B91" i="71"/>
  <c r="B99" i="71"/>
  <c r="B107" i="71"/>
  <c r="B115" i="71"/>
  <c r="B123" i="71"/>
  <c r="B163" i="71"/>
  <c r="B171" i="71"/>
  <c r="B179" i="71"/>
  <c r="B187" i="71"/>
  <c r="B195" i="71"/>
  <c r="B203" i="71"/>
  <c r="B211" i="71"/>
  <c r="B219" i="71"/>
  <c r="B259" i="71"/>
  <c r="B267" i="71"/>
  <c r="B275" i="71"/>
  <c r="B283" i="71"/>
  <c r="B291" i="71"/>
  <c r="B299" i="71"/>
  <c r="B307" i="71"/>
  <c r="B315" i="71"/>
  <c r="B76" i="71"/>
  <c r="B84" i="71"/>
  <c r="B92" i="71"/>
  <c r="B100" i="71"/>
  <c r="B108" i="71"/>
  <c r="B116" i="71"/>
  <c r="B124" i="71"/>
  <c r="B132" i="71"/>
  <c r="B172" i="71"/>
  <c r="B180" i="71"/>
  <c r="B188" i="71"/>
  <c r="B196" i="71"/>
  <c r="B204" i="71"/>
  <c r="B308" i="71"/>
  <c r="B316" i="71"/>
  <c r="B317" i="71"/>
  <c r="B26" i="71"/>
  <c r="B122" i="71"/>
  <c r="B218" i="71"/>
  <c r="B314" i="71"/>
  <c r="B35" i="71"/>
  <c r="B131" i="71"/>
  <c r="B227" i="71"/>
  <c r="B44" i="71"/>
  <c r="B140" i="71"/>
  <c r="B236" i="71"/>
  <c r="B34" i="71"/>
  <c r="B130" i="71"/>
  <c r="B226" i="71"/>
  <c r="B36" i="71"/>
  <c r="B43" i="71"/>
  <c r="B139" i="71"/>
  <c r="B235" i="71"/>
  <c r="B52" i="71"/>
  <c r="B148" i="71"/>
  <c r="B244" i="71"/>
  <c r="B42" i="71"/>
  <c r="B138" i="71"/>
  <c r="B234" i="71"/>
  <c r="B21" i="71"/>
  <c r="B51" i="71"/>
  <c r="B147" i="71"/>
  <c r="B243" i="71"/>
  <c r="B60" i="71"/>
  <c r="B156" i="71"/>
  <c r="B252" i="71"/>
  <c r="B155" i="71"/>
  <c r="B251" i="71"/>
  <c r="B68" i="71"/>
  <c r="B164" i="71"/>
  <c r="B260" i="71"/>
  <c r="E42" i="33"/>
  <c r="G42" i="33" l="1"/>
  <c r="D5" i="74" s="1"/>
  <c r="E8" i="41"/>
  <c r="E9" i="41" s="1"/>
  <c r="E5" i="41"/>
  <c r="E6" i="41" s="1"/>
  <c r="E41" i="33"/>
  <c r="G41" i="33" s="1"/>
  <c r="F10" i="74"/>
  <c r="B13" i="41"/>
  <c r="E17" i="41"/>
  <c r="E43" i="33"/>
  <c r="C19" i="71"/>
  <c r="E19" i="71" s="1"/>
  <c r="D20" i="71" s="1"/>
  <c r="C20" i="71" s="1"/>
  <c r="E20" i="71" s="1"/>
  <c r="D21" i="71" s="1"/>
  <c r="C21" i="71" s="1"/>
  <c r="E21" i="71" s="1"/>
  <c r="D22" i="71" s="1"/>
  <c r="C22" i="71" s="1"/>
  <c r="E22" i="71" s="1"/>
  <c r="B5" i="41"/>
  <c r="D15" i="74" l="1"/>
  <c r="F14" i="74"/>
  <c r="F13" i="74"/>
  <c r="B9" i="41"/>
  <c r="D40" i="33"/>
  <c r="D23" i="71"/>
  <c r="C23" i="71" s="1"/>
  <c r="E23" i="71" s="1"/>
  <c r="D24" i="71" s="1"/>
  <c r="C24" i="71" s="1"/>
  <c r="E24" i="71" s="1"/>
  <c r="D25" i="71" s="1"/>
  <c r="C25" i="71" s="1"/>
  <c r="E25" i="71" s="1"/>
  <c r="D26" i="71" s="1"/>
  <c r="C26" i="71" s="1"/>
  <c r="E26" i="71" s="1"/>
  <c r="D27" i="71" s="1"/>
  <c r="C27" i="71" s="1"/>
  <c r="E27" i="71" s="1"/>
  <c r="D28" i="71" s="1"/>
  <c r="C28" i="71" s="1"/>
  <c r="E28" i="71" s="1"/>
  <c r="D18" i="41"/>
  <c r="F26" i="74" l="1"/>
  <c r="F25" i="74"/>
  <c r="F27" i="74"/>
  <c r="B12" i="41"/>
  <c r="B14" i="41" s="1"/>
  <c r="B128" i="41"/>
  <c r="B263" i="41"/>
  <c r="B279" i="41"/>
  <c r="B183" i="41"/>
  <c r="B175" i="41"/>
  <c r="B159" i="41"/>
  <c r="B119" i="41"/>
  <c r="B10" i="41"/>
  <c r="B135" i="41"/>
  <c r="B127" i="41"/>
  <c r="B200" i="41"/>
  <c r="B63" i="41"/>
  <c r="B272" i="41"/>
  <c r="B176" i="41"/>
  <c r="B312" i="41"/>
  <c r="B303" i="41"/>
  <c r="B104" i="41"/>
  <c r="B295" i="41"/>
  <c r="B39" i="41"/>
  <c r="B255" i="41"/>
  <c r="B24" i="41"/>
  <c r="B247" i="41"/>
  <c r="B239" i="41"/>
  <c r="B232" i="41"/>
  <c r="B215" i="41"/>
  <c r="B230" i="41"/>
  <c r="B198" i="41"/>
  <c r="B190" i="41"/>
  <c r="B311" i="41"/>
  <c r="B143" i="41"/>
  <c r="B80" i="41"/>
  <c r="B231" i="41"/>
  <c r="B87" i="41"/>
  <c r="B150" i="41"/>
  <c r="B32" i="41"/>
  <c r="B223" i="41"/>
  <c r="B79" i="41"/>
  <c r="B94" i="41"/>
  <c r="B71" i="41"/>
  <c r="B240" i="41"/>
  <c r="B262" i="41"/>
  <c r="B55" i="41"/>
  <c r="B246" i="41"/>
  <c r="B287" i="41"/>
  <c r="B167" i="41"/>
  <c r="B47" i="41"/>
  <c r="B271" i="41"/>
  <c r="B151" i="41"/>
  <c r="B31" i="41"/>
  <c r="B23" i="41"/>
  <c r="B207" i="41"/>
  <c r="B111" i="41"/>
  <c r="B216" i="41"/>
  <c r="B199" i="41"/>
  <c r="B103" i="41"/>
  <c r="B160" i="41"/>
  <c r="B191" i="41"/>
  <c r="B95" i="41"/>
  <c r="B120" i="41"/>
  <c r="B54" i="41"/>
  <c r="B64" i="41"/>
  <c r="B278" i="41"/>
  <c r="B286" i="41"/>
  <c r="B277" i="41"/>
  <c r="B261" i="41"/>
  <c r="B253" i="41"/>
  <c r="B158" i="41"/>
  <c r="B288" i="41"/>
  <c r="B118" i="41"/>
  <c r="B102" i="41"/>
  <c r="B173" i="41"/>
  <c r="B149" i="41"/>
  <c r="B133" i="41"/>
  <c r="B22" i="41"/>
  <c r="B192" i="41"/>
  <c r="B182" i="41"/>
  <c r="B86" i="41"/>
  <c r="B168" i="41"/>
  <c r="B238" i="41"/>
  <c r="B245" i="41"/>
  <c r="B125" i="41"/>
  <c r="B174" i="41"/>
  <c r="B78" i="41"/>
  <c r="B136" i="41"/>
  <c r="B222" i="41"/>
  <c r="B229" i="41"/>
  <c r="B109" i="41"/>
  <c r="B166" i="41"/>
  <c r="B70" i="41"/>
  <c r="B112" i="41"/>
  <c r="B206" i="41"/>
  <c r="B221" i="41"/>
  <c r="B77" i="41"/>
  <c r="B62" i="41"/>
  <c r="B72" i="41"/>
  <c r="B317" i="41"/>
  <c r="B213" i="41"/>
  <c r="B61" i="41"/>
  <c r="B40" i="41"/>
  <c r="B309" i="41"/>
  <c r="B205" i="41"/>
  <c r="B45" i="41"/>
  <c r="B302" i="41"/>
  <c r="B142" i="41"/>
  <c r="B46" i="41"/>
  <c r="B18" i="41"/>
  <c r="C18" i="41" s="1"/>
  <c r="E18" i="41" s="1"/>
  <c r="B301" i="41"/>
  <c r="B197" i="41"/>
  <c r="B37" i="41"/>
  <c r="B134" i="41"/>
  <c r="B38" i="41"/>
  <c r="B310" i="41"/>
  <c r="B293" i="41"/>
  <c r="B189" i="41"/>
  <c r="B292" i="41"/>
  <c r="B254" i="41"/>
  <c r="B126" i="41"/>
  <c r="B30" i="41"/>
  <c r="B294" i="41"/>
  <c r="B285" i="41"/>
  <c r="B181" i="41"/>
  <c r="B214" i="41"/>
  <c r="B110" i="41"/>
  <c r="B264" i="41"/>
  <c r="B270" i="41"/>
  <c r="B269" i="41"/>
  <c r="B165" i="41"/>
  <c r="B280" i="41"/>
  <c r="B157" i="41"/>
  <c r="B237" i="41"/>
  <c r="B141" i="41"/>
  <c r="B92" i="41"/>
  <c r="B180" i="41"/>
  <c r="B148" i="41"/>
  <c r="B117" i="41"/>
  <c r="B93" i="41"/>
  <c r="B101" i="41"/>
  <c r="B85" i="41"/>
  <c r="B132" i="41"/>
  <c r="B60" i="41"/>
  <c r="B69" i="41"/>
  <c r="B53" i="41"/>
  <c r="B116" i="41"/>
  <c r="B36" i="41"/>
  <c r="B20" i="41"/>
  <c r="B29" i="41"/>
  <c r="B96" i="41"/>
  <c r="B21" i="41"/>
  <c r="B256" i="41"/>
  <c r="B252" i="41"/>
  <c r="B220" i="41"/>
  <c r="B224" i="41"/>
  <c r="B184" i="41"/>
  <c r="B56" i="41"/>
  <c r="B124" i="41"/>
  <c r="B308" i="41"/>
  <c r="B236" i="41"/>
  <c r="B100" i="41"/>
  <c r="B84" i="41"/>
  <c r="B76" i="41"/>
  <c r="B196" i="41"/>
  <c r="B68" i="41"/>
  <c r="B44" i="41"/>
  <c r="B140" i="41"/>
  <c r="B52" i="41"/>
  <c r="B260" i="41"/>
  <c r="B164" i="41"/>
  <c r="B28" i="41"/>
  <c r="B195" i="41"/>
  <c r="B188" i="41"/>
  <c r="B144" i="41"/>
  <c r="B172" i="41"/>
  <c r="B315" i="41"/>
  <c r="B123" i="41"/>
  <c r="B284" i="41"/>
  <c r="B268" i="41"/>
  <c r="B276" i="41"/>
  <c r="B307" i="41"/>
  <c r="B244" i="41"/>
  <c r="B228" i="41"/>
  <c r="B122" i="41"/>
  <c r="B212" i="41"/>
  <c r="B204" i="41"/>
  <c r="B107" i="41"/>
  <c r="B59" i="41"/>
  <c r="B35" i="41"/>
  <c r="B114" i="41"/>
  <c r="B156" i="41"/>
  <c r="B108" i="41"/>
  <c r="B98" i="41"/>
  <c r="B202" i="41"/>
  <c r="B299" i="41"/>
  <c r="B251" i="41"/>
  <c r="B235" i="41"/>
  <c r="B227" i="41"/>
  <c r="B314" i="41"/>
  <c r="B203" i="41"/>
  <c r="B139" i="41"/>
  <c r="B131" i="41"/>
  <c r="B88" i="41"/>
  <c r="B58" i="41"/>
  <c r="B266" i="41"/>
  <c r="B99" i="41"/>
  <c r="B291" i="41"/>
  <c r="B43" i="41"/>
  <c r="B170" i="41"/>
  <c r="B219" i="41"/>
  <c r="B27" i="41"/>
  <c r="B305" i="41"/>
  <c r="B296" i="41"/>
  <c r="B155" i="41"/>
  <c r="B154" i="41"/>
  <c r="B130" i="41"/>
  <c r="B211" i="41"/>
  <c r="B115" i="41"/>
  <c r="B19" i="41"/>
  <c r="B106" i="41"/>
  <c r="B313" i="41"/>
  <c r="B297" i="41"/>
  <c r="B283" i="41"/>
  <c r="B187" i="41"/>
  <c r="B91" i="41"/>
  <c r="B274" i="41"/>
  <c r="B34" i="41"/>
  <c r="B233" i="41"/>
  <c r="B275" i="41"/>
  <c r="B179" i="41"/>
  <c r="B83" i="41"/>
  <c r="B226" i="41"/>
  <c r="B304" i="41"/>
  <c r="B193" i="41"/>
  <c r="B267" i="41"/>
  <c r="B171" i="41"/>
  <c r="B75" i="41"/>
  <c r="B194" i="41"/>
  <c r="B248" i="41"/>
  <c r="B185" i="41"/>
  <c r="B259" i="41"/>
  <c r="B163" i="41"/>
  <c r="B67" i="41"/>
  <c r="B162" i="41"/>
  <c r="B208" i="41"/>
  <c r="B243" i="41"/>
  <c r="B147" i="41"/>
  <c r="B51" i="41"/>
  <c r="B146" i="41"/>
  <c r="B290" i="41"/>
  <c r="B177" i="41"/>
  <c r="B258" i="41"/>
  <c r="B250" i="41"/>
  <c r="B90" i="41"/>
  <c r="B152" i="41"/>
  <c r="B242" i="41"/>
  <c r="B289" i="41"/>
  <c r="B153" i="41"/>
  <c r="B82" i="41"/>
  <c r="B48" i="41"/>
  <c r="B234" i="41"/>
  <c r="B281" i="41"/>
  <c r="B113" i="41"/>
  <c r="B74" i="41"/>
  <c r="B316" i="41"/>
  <c r="B218" i="41"/>
  <c r="B273" i="41"/>
  <c r="B97" i="41"/>
  <c r="B66" i="41"/>
  <c r="B300" i="41"/>
  <c r="B210" i="41"/>
  <c r="B265" i="41"/>
  <c r="B73" i="41"/>
  <c r="B257" i="41"/>
  <c r="B49" i="41"/>
  <c r="B50" i="41"/>
  <c r="B306" i="41"/>
  <c r="B186" i="41"/>
  <c r="B249" i="41"/>
  <c r="B41" i="41"/>
  <c r="B42" i="41"/>
  <c r="B298" i="41"/>
  <c r="B178" i="41"/>
  <c r="B241" i="41"/>
  <c r="B26" i="41"/>
  <c r="B282" i="41"/>
  <c r="B138" i="41"/>
  <c r="B209" i="41"/>
  <c r="B81" i="41"/>
  <c r="B65" i="41"/>
  <c r="B57" i="41"/>
  <c r="B169" i="41"/>
  <c r="B33" i="41"/>
  <c r="B161" i="41"/>
  <c r="B145" i="41"/>
  <c r="B137" i="41"/>
  <c r="B225" i="41"/>
  <c r="B129" i="41"/>
  <c r="B25" i="41"/>
  <c r="B217" i="41"/>
  <c r="B121" i="41"/>
  <c r="B201" i="41"/>
  <c r="B105" i="41"/>
  <c r="F40" i="33"/>
  <c r="B89" i="41"/>
  <c r="D29" i="71"/>
  <c r="C29" i="71" s="1"/>
  <c r="E29" i="71" s="1"/>
  <c r="D30" i="71" s="1"/>
  <c r="C30" i="71" s="1"/>
  <c r="E30" i="71" s="1"/>
  <c r="G40" i="33" l="1"/>
  <c r="D7" i="74" s="1"/>
  <c r="D31" i="71"/>
  <c r="C31" i="71" s="1"/>
  <c r="E31" i="71" s="1"/>
  <c r="D32" i="71" s="1"/>
  <c r="C32" i="71" s="1"/>
  <c r="E32" i="71" s="1"/>
  <c r="D19" i="41"/>
  <c r="C19" i="41" s="1"/>
  <c r="E19" i="41" s="1"/>
  <c r="E7" i="74" l="1"/>
  <c r="D14" i="74"/>
  <c r="D13" i="74"/>
  <c r="D33" i="71"/>
  <c r="C33" i="71" s="1"/>
  <c r="E33" i="71" s="1"/>
  <c r="D34" i="71" s="1"/>
  <c r="C34" i="71" s="1"/>
  <c r="E34" i="71" s="1"/>
  <c r="D20" i="41"/>
  <c r="C20" i="41" s="1"/>
  <c r="E20" i="41" s="1"/>
  <c r="D25" i="74" l="1"/>
  <c r="D26" i="74"/>
  <c r="D27" i="74"/>
  <c r="D35" i="71"/>
  <c r="C35" i="71" s="1"/>
  <c r="E35" i="71" s="1"/>
  <c r="D36" i="71" s="1"/>
  <c r="C36" i="71" s="1"/>
  <c r="E36" i="71" s="1"/>
  <c r="D37" i="71" s="1"/>
  <c r="C37" i="71" s="1"/>
  <c r="E37" i="71" s="1"/>
  <c r="D38" i="71" s="1"/>
  <c r="C38" i="71" s="1"/>
  <c r="E38" i="71" s="1"/>
  <c r="D21" i="41"/>
  <c r="D39" i="71" l="1"/>
  <c r="C39" i="71" s="1"/>
  <c r="E39" i="71" s="1"/>
  <c r="D40" i="71" s="1"/>
  <c r="C40" i="71" s="1"/>
  <c r="E40" i="71" s="1"/>
  <c r="C21" i="41"/>
  <c r="E21" i="41" s="1"/>
  <c r="D41" i="71" l="1"/>
  <c r="C41" i="71" s="1"/>
  <c r="E41" i="71" s="1"/>
  <c r="D42" i="71" s="1"/>
  <c r="C42" i="71" s="1"/>
  <c r="E42" i="71" s="1"/>
  <c r="D22" i="41"/>
  <c r="D43" i="71" l="1"/>
  <c r="C43" i="71" s="1"/>
  <c r="E43" i="71" s="1"/>
  <c r="D44" i="71" s="1"/>
  <c r="C44" i="71" s="1"/>
  <c r="E44" i="71" s="1"/>
  <c r="C22" i="41"/>
  <c r="E22" i="41" s="1"/>
  <c r="D45" i="71" l="1"/>
  <c r="C45" i="71" s="1"/>
  <c r="E45" i="71" s="1"/>
  <c r="D46" i="71" s="1"/>
  <c r="C46" i="71" s="1"/>
  <c r="E46" i="71" s="1"/>
  <c r="D23" i="41"/>
  <c r="D47" i="71" l="1"/>
  <c r="C47" i="71" s="1"/>
  <c r="E47" i="71" s="1"/>
  <c r="D48" i="71" s="1"/>
  <c r="C48" i="71" s="1"/>
  <c r="E48" i="71" s="1"/>
  <c r="C23" i="41"/>
  <c r="E23" i="41" s="1"/>
  <c r="D49" i="71" l="1"/>
  <c r="C49" i="71" s="1"/>
  <c r="E49" i="71" s="1"/>
  <c r="D50" i="71" s="1"/>
  <c r="C50" i="71" s="1"/>
  <c r="E50" i="71" s="1"/>
  <c r="D24" i="41"/>
  <c r="D51" i="71" l="1"/>
  <c r="C51" i="71" s="1"/>
  <c r="E51" i="71" s="1"/>
  <c r="D52" i="71" s="1"/>
  <c r="C52" i="71" s="1"/>
  <c r="E52" i="71" s="1"/>
  <c r="C24" i="41"/>
  <c r="E24" i="41" s="1"/>
  <c r="D53" i="71" l="1"/>
  <c r="C53" i="71" s="1"/>
  <c r="E53" i="71" s="1"/>
  <c r="D54" i="71" s="1"/>
  <c r="C54" i="71" s="1"/>
  <c r="E54" i="71" s="1"/>
  <c r="D25" i="41"/>
  <c r="D55" i="71" l="1"/>
  <c r="C55" i="71" s="1"/>
  <c r="E55" i="71" s="1"/>
  <c r="D56" i="71" s="1"/>
  <c r="C56" i="71" s="1"/>
  <c r="E56" i="71" s="1"/>
  <c r="C25" i="41"/>
  <c r="E25" i="41" s="1"/>
  <c r="D57" i="71" l="1"/>
  <c r="C57" i="71" s="1"/>
  <c r="E57" i="71" s="1"/>
  <c r="D58" i="71" s="1"/>
  <c r="C58" i="71" s="1"/>
  <c r="E58" i="71" s="1"/>
  <c r="D59" i="71" s="1"/>
  <c r="C59" i="71" s="1"/>
  <c r="E59" i="71" s="1"/>
  <c r="D60" i="71" s="1"/>
  <c r="C60" i="71" s="1"/>
  <c r="E60" i="71" s="1"/>
  <c r="D26" i="41"/>
  <c r="D61" i="71" l="1"/>
  <c r="C61" i="71" s="1"/>
  <c r="E61" i="71" s="1"/>
  <c r="D62" i="71" s="1"/>
  <c r="C62" i="71" s="1"/>
  <c r="E62" i="71" s="1"/>
  <c r="D63" i="71" s="1"/>
  <c r="C63" i="71" s="1"/>
  <c r="E63" i="71" s="1"/>
  <c r="D64" i="71" s="1"/>
  <c r="C64" i="71" s="1"/>
  <c r="E64" i="71" s="1"/>
  <c r="C26" i="41"/>
  <c r="E26" i="41" s="1"/>
  <c r="D65" i="71" l="1"/>
  <c r="C65" i="71" s="1"/>
  <c r="E65" i="71" s="1"/>
  <c r="D66" i="71" s="1"/>
  <c r="C66" i="71" s="1"/>
  <c r="E66" i="71" s="1"/>
  <c r="D27" i="41"/>
  <c r="D67" i="71" l="1"/>
  <c r="C67" i="71" s="1"/>
  <c r="E67" i="71" s="1"/>
  <c r="D68" i="71" s="1"/>
  <c r="C68" i="71" s="1"/>
  <c r="E68" i="71" s="1"/>
  <c r="D69" i="71" s="1"/>
  <c r="C69" i="71" s="1"/>
  <c r="E69" i="71" s="1"/>
  <c r="D70" i="71" s="1"/>
  <c r="C70" i="71" s="1"/>
  <c r="E70" i="71" s="1"/>
  <c r="C27" i="41"/>
  <c r="E27" i="41" s="1"/>
  <c r="D71" i="71" l="1"/>
  <c r="C71" i="71" s="1"/>
  <c r="E71" i="71" s="1"/>
  <c r="D72" i="71" s="1"/>
  <c r="C72" i="71" s="1"/>
  <c r="E72" i="71" s="1"/>
  <c r="D28" i="41"/>
  <c r="D73" i="71" l="1"/>
  <c r="C73" i="71" s="1"/>
  <c r="E73" i="71" s="1"/>
  <c r="D74" i="71" s="1"/>
  <c r="C74" i="71" s="1"/>
  <c r="E74" i="71" s="1"/>
  <c r="C28" i="41"/>
  <c r="E28" i="41" s="1"/>
  <c r="D75" i="71" l="1"/>
  <c r="C75" i="71" s="1"/>
  <c r="E75" i="71" s="1"/>
  <c r="D76" i="71" s="1"/>
  <c r="C76" i="71" s="1"/>
  <c r="E76" i="71" s="1"/>
  <c r="D29" i="41"/>
  <c r="D77" i="71" l="1"/>
  <c r="C77" i="71" s="1"/>
  <c r="E77" i="71" s="1"/>
  <c r="D78" i="71" s="1"/>
  <c r="C78" i="71" s="1"/>
  <c r="E78" i="71" s="1"/>
  <c r="C29" i="41"/>
  <c r="E29" i="41" s="1"/>
  <c r="D79" i="71" l="1"/>
  <c r="C79" i="71" s="1"/>
  <c r="E79" i="71" s="1"/>
  <c r="D80" i="71" s="1"/>
  <c r="C80" i="71" s="1"/>
  <c r="E80" i="71" s="1"/>
  <c r="D30" i="41"/>
  <c r="D81" i="71" l="1"/>
  <c r="C81" i="71" s="1"/>
  <c r="E81" i="71" s="1"/>
  <c r="D82" i="71" s="1"/>
  <c r="C82" i="71" s="1"/>
  <c r="E82" i="71" s="1"/>
  <c r="C30" i="41"/>
  <c r="E30" i="41" s="1"/>
  <c r="D83" i="71" l="1"/>
  <c r="C83" i="71" s="1"/>
  <c r="E83" i="71" s="1"/>
  <c r="D84" i="71" s="1"/>
  <c r="C84" i="71" s="1"/>
  <c r="E84" i="71" s="1"/>
  <c r="D31" i="41"/>
  <c r="D85" i="71" l="1"/>
  <c r="C85" i="71" s="1"/>
  <c r="E85" i="71" s="1"/>
  <c r="D86" i="71" s="1"/>
  <c r="C86" i="71" s="1"/>
  <c r="E86" i="71" s="1"/>
  <c r="C31" i="41"/>
  <c r="E31" i="41" s="1"/>
  <c r="D87" i="71" l="1"/>
  <c r="C87" i="71" s="1"/>
  <c r="E87" i="71" s="1"/>
  <c r="D88" i="71" s="1"/>
  <c r="C88" i="71" s="1"/>
  <c r="E88" i="71" s="1"/>
  <c r="D89" i="71" s="1"/>
  <c r="C89" i="71" s="1"/>
  <c r="E89" i="71" s="1"/>
  <c r="D90" i="71" s="1"/>
  <c r="C90" i="71" s="1"/>
  <c r="E90" i="71" s="1"/>
  <c r="D32" i="41"/>
  <c r="D91" i="71" l="1"/>
  <c r="C91" i="71" s="1"/>
  <c r="E91" i="71" s="1"/>
  <c r="D92" i="71" s="1"/>
  <c r="C92" i="71" s="1"/>
  <c r="E92" i="71" s="1"/>
  <c r="D93" i="71" s="1"/>
  <c r="C93" i="71" s="1"/>
  <c r="E93" i="71" s="1"/>
  <c r="D94" i="71" s="1"/>
  <c r="C94" i="71" s="1"/>
  <c r="E94" i="71" s="1"/>
  <c r="C32" i="41"/>
  <c r="E32" i="41" s="1"/>
  <c r="D95" i="71" l="1"/>
  <c r="C95" i="71" s="1"/>
  <c r="E95" i="71" s="1"/>
  <c r="D33" i="41"/>
  <c r="D96" i="71" l="1"/>
  <c r="C96" i="71" s="1"/>
  <c r="E96" i="71" s="1"/>
  <c r="D97" i="71" s="1"/>
  <c r="C97" i="71" s="1"/>
  <c r="E97" i="71" s="1"/>
  <c r="D98" i="71" s="1"/>
  <c r="C98" i="71" s="1"/>
  <c r="E98" i="71" s="1"/>
  <c r="D99" i="71" s="1"/>
  <c r="C99" i="71" s="1"/>
  <c r="E99" i="71" s="1"/>
  <c r="D100" i="71" s="1"/>
  <c r="C100" i="71" s="1"/>
  <c r="E100" i="71" s="1"/>
  <c r="C33" i="41"/>
  <c r="E33" i="41" s="1"/>
  <c r="D101" i="71" l="1"/>
  <c r="C101" i="71" s="1"/>
  <c r="E101" i="71" s="1"/>
  <c r="D102" i="71" s="1"/>
  <c r="C102" i="71" s="1"/>
  <c r="E102" i="71" s="1"/>
  <c r="D103" i="71" s="1"/>
  <c r="C103" i="71" s="1"/>
  <c r="E103" i="71" s="1"/>
  <c r="D104" i="71" s="1"/>
  <c r="C104" i="71" s="1"/>
  <c r="E104" i="71" s="1"/>
  <c r="D34" i="41"/>
  <c r="D105" i="71" l="1"/>
  <c r="C105" i="71" s="1"/>
  <c r="E105" i="71" s="1"/>
  <c r="D106" i="71" s="1"/>
  <c r="C106" i="71" s="1"/>
  <c r="E106" i="71" s="1"/>
  <c r="D107" i="71" s="1"/>
  <c r="C107" i="71" s="1"/>
  <c r="E107" i="71" s="1"/>
  <c r="D108" i="71" s="1"/>
  <c r="C108" i="71" s="1"/>
  <c r="E108" i="71" s="1"/>
  <c r="D109" i="71" s="1"/>
  <c r="C109" i="71" s="1"/>
  <c r="E109" i="71" s="1"/>
  <c r="D110" i="71" s="1"/>
  <c r="C110" i="71" s="1"/>
  <c r="E110" i="71" s="1"/>
  <c r="C34" i="41"/>
  <c r="E34" i="41" s="1"/>
  <c r="D111" i="71" l="1"/>
  <c r="C111" i="71" s="1"/>
  <c r="E111" i="71" s="1"/>
  <c r="D112" i="71" s="1"/>
  <c r="C112" i="71" s="1"/>
  <c r="E112" i="71" s="1"/>
  <c r="D35" i="41"/>
  <c r="D113" i="71" l="1"/>
  <c r="C113" i="71" s="1"/>
  <c r="E113" i="71" s="1"/>
  <c r="D114" i="71" s="1"/>
  <c r="C114" i="71" s="1"/>
  <c r="E114" i="71" s="1"/>
  <c r="C35" i="41"/>
  <c r="E35" i="41" s="1"/>
  <c r="D115" i="71" l="1"/>
  <c r="C115" i="71" s="1"/>
  <c r="E115" i="71" s="1"/>
  <c r="D116" i="71" s="1"/>
  <c r="C116" i="71" s="1"/>
  <c r="E116" i="71" s="1"/>
  <c r="D36" i="41"/>
  <c r="D117" i="71" l="1"/>
  <c r="C117" i="71" s="1"/>
  <c r="E117" i="71" s="1"/>
  <c r="D118" i="71" s="1"/>
  <c r="C118" i="71" s="1"/>
  <c r="E118" i="71" s="1"/>
  <c r="C36" i="41"/>
  <c r="E36" i="41" s="1"/>
  <c r="D119" i="71" l="1"/>
  <c r="C119" i="71" s="1"/>
  <c r="E119" i="71" s="1"/>
  <c r="D120" i="71" s="1"/>
  <c r="C120" i="71" s="1"/>
  <c r="E120" i="71" s="1"/>
  <c r="D37" i="41"/>
  <c r="D121" i="71" l="1"/>
  <c r="C121" i="71" s="1"/>
  <c r="E121" i="71" s="1"/>
  <c r="D122" i="71" s="1"/>
  <c r="C122" i="71" s="1"/>
  <c r="E122" i="71" s="1"/>
  <c r="C37" i="41"/>
  <c r="E37" i="41" s="1"/>
  <c r="D123" i="71" l="1"/>
  <c r="C123" i="71" s="1"/>
  <c r="E123" i="71" s="1"/>
  <c r="D124" i="71" s="1"/>
  <c r="C124" i="71" s="1"/>
  <c r="E124" i="71" s="1"/>
  <c r="D38" i="41"/>
  <c r="D125" i="71" l="1"/>
  <c r="C125" i="71" s="1"/>
  <c r="E125" i="71" s="1"/>
  <c r="D126" i="71" s="1"/>
  <c r="C126" i="71" s="1"/>
  <c r="E126" i="71" s="1"/>
  <c r="C38" i="41"/>
  <c r="E38" i="41" s="1"/>
  <c r="D127" i="71" l="1"/>
  <c r="C127" i="71" s="1"/>
  <c r="E127" i="71" s="1"/>
  <c r="D128" i="71" s="1"/>
  <c r="C128" i="71" s="1"/>
  <c r="E128" i="71" s="1"/>
  <c r="D129" i="71" s="1"/>
  <c r="C129" i="71" s="1"/>
  <c r="E129" i="71" s="1"/>
  <c r="D130" i="71" s="1"/>
  <c r="C130" i="71" s="1"/>
  <c r="E130" i="71" s="1"/>
  <c r="D39" i="41"/>
  <c r="D131" i="71" l="1"/>
  <c r="C131" i="71" s="1"/>
  <c r="E131" i="71" s="1"/>
  <c r="D132" i="71" s="1"/>
  <c r="C132" i="71" s="1"/>
  <c r="E132" i="71" s="1"/>
  <c r="C39" i="41"/>
  <c r="E39" i="41" s="1"/>
  <c r="D133" i="71" l="1"/>
  <c r="C133" i="71" s="1"/>
  <c r="E133" i="71" s="1"/>
  <c r="D134" i="71" s="1"/>
  <c r="C134" i="71" s="1"/>
  <c r="E134" i="71" s="1"/>
  <c r="D40" i="41"/>
  <c r="D135" i="71" l="1"/>
  <c r="C135" i="71" s="1"/>
  <c r="E135" i="71" s="1"/>
  <c r="D136" i="71" s="1"/>
  <c r="C136" i="71" s="1"/>
  <c r="E136" i="71" s="1"/>
  <c r="C40" i="41"/>
  <c r="E40" i="41" s="1"/>
  <c r="D137" i="71" l="1"/>
  <c r="C137" i="71" s="1"/>
  <c r="E137" i="71" s="1"/>
  <c r="D138" i="71" s="1"/>
  <c r="C138" i="71" s="1"/>
  <c r="E138" i="71" s="1"/>
  <c r="D41" i="41"/>
  <c r="D139" i="71" l="1"/>
  <c r="C139" i="71" s="1"/>
  <c r="E139" i="71" s="1"/>
  <c r="D140" i="71" s="1"/>
  <c r="C140" i="71" s="1"/>
  <c r="E140" i="71" s="1"/>
  <c r="C41" i="41"/>
  <c r="E41" i="41" s="1"/>
  <c r="D141" i="71" l="1"/>
  <c r="C141" i="71" s="1"/>
  <c r="E141" i="71" s="1"/>
  <c r="D142" i="71" s="1"/>
  <c r="C142" i="71" s="1"/>
  <c r="E142" i="71" s="1"/>
  <c r="D143" i="71" s="1"/>
  <c r="C143" i="71" s="1"/>
  <c r="E143" i="71" s="1"/>
  <c r="D144" i="71" s="1"/>
  <c r="C144" i="71" s="1"/>
  <c r="E144" i="71" s="1"/>
  <c r="D42" i="41"/>
  <c r="D145" i="71" l="1"/>
  <c r="C145" i="71" s="1"/>
  <c r="E145" i="71" s="1"/>
  <c r="D146" i="71" s="1"/>
  <c r="C146" i="71" s="1"/>
  <c r="E146" i="71" s="1"/>
  <c r="C42" i="41"/>
  <c r="E42" i="41" s="1"/>
  <c r="D147" i="71" l="1"/>
  <c r="C147" i="71" s="1"/>
  <c r="E147" i="71" s="1"/>
  <c r="D148" i="71" s="1"/>
  <c r="C148" i="71" s="1"/>
  <c r="E148" i="71" s="1"/>
  <c r="D149" i="71" s="1"/>
  <c r="C149" i="71" s="1"/>
  <c r="E149" i="71" s="1"/>
  <c r="D150" i="71" s="1"/>
  <c r="C150" i="71" s="1"/>
  <c r="E150" i="71" s="1"/>
  <c r="D151" i="71" s="1"/>
  <c r="C151" i="71" s="1"/>
  <c r="E151" i="71" s="1"/>
  <c r="D152" i="71" s="1"/>
  <c r="C152" i="71" s="1"/>
  <c r="E152" i="71" s="1"/>
  <c r="D153" i="71" s="1"/>
  <c r="C153" i="71" s="1"/>
  <c r="E153" i="71" s="1"/>
  <c r="D154" i="71" s="1"/>
  <c r="C154" i="71" s="1"/>
  <c r="E154" i="71" s="1"/>
  <c r="D155" i="71" s="1"/>
  <c r="C155" i="71" s="1"/>
  <c r="E155" i="71" s="1"/>
  <c r="D156" i="71" s="1"/>
  <c r="C156" i="71" s="1"/>
  <c r="E156" i="71" s="1"/>
  <c r="D157" i="71" s="1"/>
  <c r="C157" i="71" s="1"/>
  <c r="E157" i="71" s="1"/>
  <c r="D158" i="71" s="1"/>
  <c r="C158" i="71" s="1"/>
  <c r="E158" i="71" s="1"/>
  <c r="D159" i="71" s="1"/>
  <c r="C159" i="71" s="1"/>
  <c r="E159" i="71" s="1"/>
  <c r="D160" i="71" s="1"/>
  <c r="C160" i="71" s="1"/>
  <c r="E160" i="71" s="1"/>
  <c r="D161" i="71" s="1"/>
  <c r="C161" i="71" s="1"/>
  <c r="E161" i="71" s="1"/>
  <c r="D162" i="71" s="1"/>
  <c r="C162" i="71" s="1"/>
  <c r="E162" i="71" s="1"/>
  <c r="D163" i="71" s="1"/>
  <c r="C163" i="71" s="1"/>
  <c r="E163" i="71" s="1"/>
  <c r="D164" i="71" s="1"/>
  <c r="C164" i="71" s="1"/>
  <c r="E164" i="71" s="1"/>
  <c r="D165" i="71" s="1"/>
  <c r="C165" i="71" s="1"/>
  <c r="E165" i="71" s="1"/>
  <c r="D166" i="71" s="1"/>
  <c r="C166" i="71" s="1"/>
  <c r="E166" i="71" s="1"/>
  <c r="D167" i="71" s="1"/>
  <c r="C167" i="71" s="1"/>
  <c r="E167" i="71" s="1"/>
  <c r="D168" i="71" s="1"/>
  <c r="C168" i="71" s="1"/>
  <c r="E168" i="71" s="1"/>
  <c r="D169" i="71" s="1"/>
  <c r="C169" i="71" s="1"/>
  <c r="E169" i="71" s="1"/>
  <c r="D170" i="71" s="1"/>
  <c r="C170" i="71" s="1"/>
  <c r="E170" i="71" s="1"/>
  <c r="D171" i="71" s="1"/>
  <c r="C171" i="71" s="1"/>
  <c r="E171" i="71" s="1"/>
  <c r="D172" i="71" s="1"/>
  <c r="C172" i="71" s="1"/>
  <c r="E172" i="71" s="1"/>
  <c r="D173" i="71" s="1"/>
  <c r="C173" i="71" s="1"/>
  <c r="E173" i="71" s="1"/>
  <c r="D174" i="71" s="1"/>
  <c r="C174" i="71" s="1"/>
  <c r="E174" i="71" s="1"/>
  <c r="D175" i="71" s="1"/>
  <c r="C175" i="71" s="1"/>
  <c r="E175" i="71" s="1"/>
  <c r="D176" i="71" s="1"/>
  <c r="C176" i="71" s="1"/>
  <c r="E176" i="71" s="1"/>
  <c r="D177" i="71" s="1"/>
  <c r="C177" i="71" s="1"/>
  <c r="E177" i="71" s="1"/>
  <c r="D178" i="71" s="1"/>
  <c r="C178" i="71" s="1"/>
  <c r="E178" i="71" s="1"/>
  <c r="D179" i="71" s="1"/>
  <c r="C179" i="71" s="1"/>
  <c r="E179" i="71" s="1"/>
  <c r="D180" i="71" s="1"/>
  <c r="C180" i="71" s="1"/>
  <c r="E180" i="71" s="1"/>
  <c r="D181" i="71" s="1"/>
  <c r="C181" i="71" s="1"/>
  <c r="E181" i="71" s="1"/>
  <c r="D182" i="71" s="1"/>
  <c r="C182" i="71" s="1"/>
  <c r="E182" i="71" s="1"/>
  <c r="D183" i="71" s="1"/>
  <c r="C183" i="71" s="1"/>
  <c r="E183" i="71" s="1"/>
  <c r="D184" i="71" s="1"/>
  <c r="C184" i="71" s="1"/>
  <c r="E184" i="71" s="1"/>
  <c r="D185" i="71" s="1"/>
  <c r="C185" i="71" s="1"/>
  <c r="E185" i="71" s="1"/>
  <c r="D186" i="71" s="1"/>
  <c r="C186" i="71" s="1"/>
  <c r="E186" i="71" s="1"/>
  <c r="D187" i="71" s="1"/>
  <c r="C187" i="71" s="1"/>
  <c r="E187" i="71" s="1"/>
  <c r="D188" i="71" s="1"/>
  <c r="C188" i="71" s="1"/>
  <c r="E188" i="71" s="1"/>
  <c r="D43" i="41"/>
  <c r="D189" i="71" l="1"/>
  <c r="C189" i="71" s="1"/>
  <c r="E189" i="71" s="1"/>
  <c r="D190" i="71" s="1"/>
  <c r="C190" i="71" s="1"/>
  <c r="E190" i="71" s="1"/>
  <c r="D191" i="71" s="1"/>
  <c r="C191" i="71" s="1"/>
  <c r="E191" i="71" s="1"/>
  <c r="D192" i="71" s="1"/>
  <c r="C192" i="71" s="1"/>
  <c r="E192" i="71" s="1"/>
  <c r="D193" i="71" s="1"/>
  <c r="C193" i="71" s="1"/>
  <c r="E193" i="71" s="1"/>
  <c r="D194" i="71" s="1"/>
  <c r="C194" i="71" s="1"/>
  <c r="E194" i="71" s="1"/>
  <c r="D195" i="71" s="1"/>
  <c r="C195" i="71" s="1"/>
  <c r="E195" i="71" s="1"/>
  <c r="D196" i="71" s="1"/>
  <c r="C196" i="71" s="1"/>
  <c r="E196" i="71" s="1"/>
  <c r="D197" i="71" s="1"/>
  <c r="C197" i="71" s="1"/>
  <c r="E197" i="71" s="1"/>
  <c r="C43" i="41"/>
  <c r="E43" i="41" s="1"/>
  <c r="D198" i="71" l="1"/>
  <c r="C198" i="71" s="1"/>
  <c r="E198" i="71" s="1"/>
  <c r="D199" i="71" s="1"/>
  <c r="C199" i="71" s="1"/>
  <c r="E199" i="71" s="1"/>
  <c r="D200" i="71" s="1"/>
  <c r="C200" i="71" s="1"/>
  <c r="E200" i="71" s="1"/>
  <c r="D201" i="71" s="1"/>
  <c r="C201" i="71" s="1"/>
  <c r="E201" i="71" s="1"/>
  <c r="D202" i="71" s="1"/>
  <c r="C202" i="71" s="1"/>
  <c r="E202" i="71" s="1"/>
  <c r="D203" i="71" s="1"/>
  <c r="C203" i="71" s="1"/>
  <c r="E203" i="71" s="1"/>
  <c r="D204" i="71" s="1"/>
  <c r="C204" i="71" s="1"/>
  <c r="E204" i="71" s="1"/>
  <c r="D205" i="71" s="1"/>
  <c r="C205" i="71" s="1"/>
  <c r="E205" i="71" s="1"/>
  <c r="D206" i="71" s="1"/>
  <c r="C206" i="71" s="1"/>
  <c r="E206" i="71" s="1"/>
  <c r="D207" i="71" s="1"/>
  <c r="C207" i="71" s="1"/>
  <c r="E207" i="71" s="1"/>
  <c r="D208" i="71" s="1"/>
  <c r="C208" i="71" s="1"/>
  <c r="E208" i="71" s="1"/>
  <c r="D209" i="71" s="1"/>
  <c r="C209" i="71" s="1"/>
  <c r="E209" i="71" s="1"/>
  <c r="D210" i="71" s="1"/>
  <c r="C210" i="71" s="1"/>
  <c r="E210" i="71" s="1"/>
  <c r="D211" i="71" s="1"/>
  <c r="C211" i="71" s="1"/>
  <c r="E211" i="71" s="1"/>
  <c r="D212" i="71" s="1"/>
  <c r="C212" i="71" s="1"/>
  <c r="E212" i="71" s="1"/>
  <c r="D213" i="71" s="1"/>
  <c r="C213" i="71" s="1"/>
  <c r="E213" i="71" s="1"/>
  <c r="D214" i="71" s="1"/>
  <c r="C214" i="71" s="1"/>
  <c r="E214" i="71" s="1"/>
  <c r="D215" i="71" s="1"/>
  <c r="C215" i="71" s="1"/>
  <c r="E215" i="71" s="1"/>
  <c r="D216" i="71" s="1"/>
  <c r="C216" i="71" s="1"/>
  <c r="E216" i="71" s="1"/>
  <c r="D217" i="71" s="1"/>
  <c r="C217" i="71" s="1"/>
  <c r="E217" i="71" s="1"/>
  <c r="D218" i="71" s="1"/>
  <c r="C218" i="71" s="1"/>
  <c r="E218" i="71" s="1"/>
  <c r="D219" i="71" s="1"/>
  <c r="C219" i="71" s="1"/>
  <c r="E219" i="71" s="1"/>
  <c r="D220" i="71" s="1"/>
  <c r="C220" i="71" s="1"/>
  <c r="E220" i="71" s="1"/>
  <c r="D221" i="71" s="1"/>
  <c r="C221" i="71" s="1"/>
  <c r="E221" i="71" s="1"/>
  <c r="D222" i="71" s="1"/>
  <c r="C222" i="71" s="1"/>
  <c r="E222" i="71" s="1"/>
  <c r="D223" i="71" s="1"/>
  <c r="C223" i="71" s="1"/>
  <c r="E223" i="71" s="1"/>
  <c r="D224" i="71" s="1"/>
  <c r="C224" i="71" s="1"/>
  <c r="E224" i="71" s="1"/>
  <c r="D225" i="71" s="1"/>
  <c r="C225" i="71" s="1"/>
  <c r="E225" i="71" s="1"/>
  <c r="D226" i="71" s="1"/>
  <c r="C226" i="71" s="1"/>
  <c r="E226" i="71" s="1"/>
  <c r="D227" i="71" s="1"/>
  <c r="C227" i="71" s="1"/>
  <c r="E227" i="71" s="1"/>
  <c r="D228" i="71" s="1"/>
  <c r="C228" i="71" s="1"/>
  <c r="E228" i="71" s="1"/>
  <c r="D229" i="71" s="1"/>
  <c r="C229" i="71" s="1"/>
  <c r="E229" i="71" s="1"/>
  <c r="D230" i="71" s="1"/>
  <c r="C230" i="71" s="1"/>
  <c r="E230" i="71" s="1"/>
  <c r="D231" i="71" s="1"/>
  <c r="C231" i="71" s="1"/>
  <c r="E231" i="71" s="1"/>
  <c r="D232" i="71" s="1"/>
  <c r="C232" i="71" s="1"/>
  <c r="E232" i="71" s="1"/>
  <c r="D233" i="71" s="1"/>
  <c r="C233" i="71" s="1"/>
  <c r="E233" i="71" s="1"/>
  <c r="D234" i="71" s="1"/>
  <c r="C234" i="71" s="1"/>
  <c r="E234" i="71" s="1"/>
  <c r="D235" i="71" s="1"/>
  <c r="C235" i="71" s="1"/>
  <c r="E235" i="71" s="1"/>
  <c r="D236" i="71" s="1"/>
  <c r="C236" i="71" s="1"/>
  <c r="E236" i="71" s="1"/>
  <c r="D237" i="71" s="1"/>
  <c r="C237" i="71" s="1"/>
  <c r="E237" i="71" s="1"/>
  <c r="D238" i="71" s="1"/>
  <c r="C238" i="71" s="1"/>
  <c r="E238" i="71" s="1"/>
  <c r="D239" i="71" s="1"/>
  <c r="C239" i="71" s="1"/>
  <c r="E239" i="71" s="1"/>
  <c r="D240" i="71" s="1"/>
  <c r="C240" i="71" s="1"/>
  <c r="E240" i="71" s="1"/>
  <c r="D241" i="71" s="1"/>
  <c r="C241" i="71" s="1"/>
  <c r="E241" i="71" s="1"/>
  <c r="D242" i="71" s="1"/>
  <c r="C242" i="71" s="1"/>
  <c r="E242" i="71" s="1"/>
  <c r="D243" i="71" s="1"/>
  <c r="C243" i="71" s="1"/>
  <c r="E243" i="71" s="1"/>
  <c r="D244" i="71" s="1"/>
  <c r="C244" i="71" s="1"/>
  <c r="E244" i="71" s="1"/>
  <c r="D245" i="71" s="1"/>
  <c r="C245" i="71" s="1"/>
  <c r="E245" i="71" s="1"/>
  <c r="D246" i="71" s="1"/>
  <c r="C246" i="71" s="1"/>
  <c r="E246" i="71" s="1"/>
  <c r="D247" i="71" s="1"/>
  <c r="C247" i="71" s="1"/>
  <c r="E247" i="71" s="1"/>
  <c r="D248" i="71" s="1"/>
  <c r="C248" i="71" s="1"/>
  <c r="E248" i="71" s="1"/>
  <c r="D249" i="71" s="1"/>
  <c r="C249" i="71" s="1"/>
  <c r="E249" i="71" s="1"/>
  <c r="D250" i="71" s="1"/>
  <c r="C250" i="71" s="1"/>
  <c r="E250" i="71" s="1"/>
  <c r="D251" i="71" s="1"/>
  <c r="C251" i="71" s="1"/>
  <c r="E251" i="71" s="1"/>
  <c r="D252" i="71" s="1"/>
  <c r="C252" i="71" s="1"/>
  <c r="E252" i="71" s="1"/>
  <c r="D253" i="71" s="1"/>
  <c r="C253" i="71" s="1"/>
  <c r="E253" i="71" s="1"/>
  <c r="D254" i="71" s="1"/>
  <c r="C254" i="71" s="1"/>
  <c r="E254" i="71" s="1"/>
  <c r="D255" i="71" s="1"/>
  <c r="C255" i="71" s="1"/>
  <c r="E255" i="71" s="1"/>
  <c r="D256" i="71" s="1"/>
  <c r="C256" i="71" s="1"/>
  <c r="E256" i="71" s="1"/>
  <c r="D257" i="71" s="1"/>
  <c r="C257" i="71" s="1"/>
  <c r="E257" i="71" s="1"/>
  <c r="D258" i="71" s="1"/>
  <c r="C258" i="71" s="1"/>
  <c r="E258" i="71" s="1"/>
  <c r="D259" i="71" s="1"/>
  <c r="C259" i="71" s="1"/>
  <c r="E259" i="71" s="1"/>
  <c r="D260" i="71" s="1"/>
  <c r="C260" i="71" s="1"/>
  <c r="E260" i="71" s="1"/>
  <c r="D261" i="71" s="1"/>
  <c r="C261" i="71" s="1"/>
  <c r="E261" i="71" s="1"/>
  <c r="D262" i="71" s="1"/>
  <c r="C262" i="71" s="1"/>
  <c r="E262" i="71" s="1"/>
  <c r="D263" i="71" s="1"/>
  <c r="C263" i="71" s="1"/>
  <c r="E263" i="71" s="1"/>
  <c r="D44" i="41"/>
  <c r="D264" i="71" l="1"/>
  <c r="C264" i="71" s="1"/>
  <c r="E264" i="71" s="1"/>
  <c r="D265" i="71" s="1"/>
  <c r="C265" i="71" s="1"/>
  <c r="E265" i="71" s="1"/>
  <c r="D266" i="71" s="1"/>
  <c r="C266" i="71" s="1"/>
  <c r="E266" i="71" s="1"/>
  <c r="D267" i="71" s="1"/>
  <c r="C267" i="71" s="1"/>
  <c r="E267" i="71" s="1"/>
  <c r="D268" i="71" s="1"/>
  <c r="C268" i="71" s="1"/>
  <c r="E268" i="71" s="1"/>
  <c r="D269" i="71" s="1"/>
  <c r="C269" i="71" s="1"/>
  <c r="E269" i="71" s="1"/>
  <c r="D270" i="71" s="1"/>
  <c r="C270" i="71" s="1"/>
  <c r="E270" i="71" s="1"/>
  <c r="C44" i="41"/>
  <c r="E44" i="41" s="1"/>
  <c r="D271" i="71" l="1"/>
  <c r="C271" i="71" s="1"/>
  <c r="E271" i="71" s="1"/>
  <c r="D272" i="71" s="1"/>
  <c r="C272" i="71" s="1"/>
  <c r="E272" i="71" s="1"/>
  <c r="D273" i="71" s="1"/>
  <c r="C273" i="71" s="1"/>
  <c r="E273" i="71" s="1"/>
  <c r="D274" i="71" s="1"/>
  <c r="C274" i="71" s="1"/>
  <c r="E274" i="71" s="1"/>
  <c r="D275" i="71" s="1"/>
  <c r="C275" i="71" s="1"/>
  <c r="E275" i="71" s="1"/>
  <c r="D276" i="71" s="1"/>
  <c r="C276" i="71" s="1"/>
  <c r="E276" i="71" s="1"/>
  <c r="D277" i="71" s="1"/>
  <c r="C277" i="71" s="1"/>
  <c r="E277" i="71" s="1"/>
  <c r="D278" i="71" s="1"/>
  <c r="C278" i="71" s="1"/>
  <c r="E278" i="71" s="1"/>
  <c r="D279" i="71" s="1"/>
  <c r="C279" i="71" s="1"/>
  <c r="E279" i="71" s="1"/>
  <c r="D280" i="71" s="1"/>
  <c r="C280" i="71" s="1"/>
  <c r="E280" i="71" s="1"/>
  <c r="D281" i="71" s="1"/>
  <c r="C281" i="71" s="1"/>
  <c r="E281" i="71" s="1"/>
  <c r="D282" i="71" s="1"/>
  <c r="C282" i="71" s="1"/>
  <c r="E282" i="71" s="1"/>
  <c r="D283" i="71" s="1"/>
  <c r="C283" i="71" s="1"/>
  <c r="E283" i="71" s="1"/>
  <c r="D284" i="71" s="1"/>
  <c r="C284" i="71" s="1"/>
  <c r="E284" i="71" s="1"/>
  <c r="D285" i="71" s="1"/>
  <c r="C285" i="71" s="1"/>
  <c r="E285" i="71" s="1"/>
  <c r="D286" i="71" s="1"/>
  <c r="C286" i="71" s="1"/>
  <c r="E286" i="71" s="1"/>
  <c r="D287" i="71" s="1"/>
  <c r="C287" i="71" s="1"/>
  <c r="E287" i="71" s="1"/>
  <c r="D45" i="41"/>
  <c r="D288" i="71" l="1"/>
  <c r="C288" i="71" s="1"/>
  <c r="E288" i="71" s="1"/>
  <c r="D289" i="71" s="1"/>
  <c r="C289" i="71" s="1"/>
  <c r="E289" i="71" s="1"/>
  <c r="D290" i="71" s="1"/>
  <c r="C290" i="71" s="1"/>
  <c r="E290" i="71" s="1"/>
  <c r="D291" i="71" s="1"/>
  <c r="C291" i="71" s="1"/>
  <c r="E291" i="71" s="1"/>
  <c r="D292" i="71" s="1"/>
  <c r="C292" i="71" s="1"/>
  <c r="E292" i="71" s="1"/>
  <c r="D293" i="71" s="1"/>
  <c r="C293" i="71" s="1"/>
  <c r="E293" i="71" s="1"/>
  <c r="D294" i="71" s="1"/>
  <c r="C294" i="71" s="1"/>
  <c r="E294" i="71" s="1"/>
  <c r="D295" i="71" s="1"/>
  <c r="C295" i="71" s="1"/>
  <c r="E295" i="71" s="1"/>
  <c r="D296" i="71" s="1"/>
  <c r="C296" i="71" s="1"/>
  <c r="E296" i="71" s="1"/>
  <c r="D297" i="71" s="1"/>
  <c r="C297" i="71" s="1"/>
  <c r="E297" i="71" s="1"/>
  <c r="D298" i="71" s="1"/>
  <c r="C298" i="71" s="1"/>
  <c r="E298" i="71" s="1"/>
  <c r="D299" i="71" s="1"/>
  <c r="C299" i="71" s="1"/>
  <c r="E299" i="71" s="1"/>
  <c r="D300" i="71" s="1"/>
  <c r="C300" i="71" s="1"/>
  <c r="E300" i="71" s="1"/>
  <c r="D301" i="71" s="1"/>
  <c r="C301" i="71" s="1"/>
  <c r="E301" i="71" s="1"/>
  <c r="D302" i="71" s="1"/>
  <c r="C302" i="71" s="1"/>
  <c r="E302" i="71" s="1"/>
  <c r="D303" i="71" s="1"/>
  <c r="C303" i="71" s="1"/>
  <c r="E303" i="71" s="1"/>
  <c r="D304" i="71" s="1"/>
  <c r="C304" i="71" s="1"/>
  <c r="E304" i="71" s="1"/>
  <c r="D305" i="71" s="1"/>
  <c r="C305" i="71" s="1"/>
  <c r="E305" i="71" s="1"/>
  <c r="D306" i="71" s="1"/>
  <c r="C306" i="71" s="1"/>
  <c r="E306" i="71" s="1"/>
  <c r="D307" i="71" s="1"/>
  <c r="C307" i="71" s="1"/>
  <c r="E307" i="71" s="1"/>
  <c r="D308" i="71" s="1"/>
  <c r="C308" i="71" s="1"/>
  <c r="E308" i="71" s="1"/>
  <c r="D309" i="71" s="1"/>
  <c r="C309" i="71" s="1"/>
  <c r="E309" i="71" s="1"/>
  <c r="D310" i="71" s="1"/>
  <c r="C310" i="71" s="1"/>
  <c r="E310" i="71" s="1"/>
  <c r="D311" i="71" s="1"/>
  <c r="C311" i="71" s="1"/>
  <c r="E311" i="71" s="1"/>
  <c r="D312" i="71" s="1"/>
  <c r="C312" i="71" s="1"/>
  <c r="E312" i="71" s="1"/>
  <c r="D313" i="71" s="1"/>
  <c r="C313" i="71" s="1"/>
  <c r="E313" i="71" s="1"/>
  <c r="D314" i="71" s="1"/>
  <c r="C314" i="71" s="1"/>
  <c r="E314" i="71" s="1"/>
  <c r="D315" i="71" s="1"/>
  <c r="C315" i="71" s="1"/>
  <c r="E315" i="71" s="1"/>
  <c r="D316" i="71" s="1"/>
  <c r="C316" i="71" s="1"/>
  <c r="E316" i="71" s="1"/>
  <c r="D317" i="71" s="1"/>
  <c r="C317" i="71" s="1"/>
  <c r="E317" i="71" s="1"/>
  <c r="C45" i="41"/>
  <c r="E45" i="41" s="1"/>
  <c r="D46" i="41" l="1"/>
  <c r="C46" i="41" l="1"/>
  <c r="E46" i="41" s="1"/>
  <c r="D47" i="41" l="1"/>
  <c r="C47" i="41" l="1"/>
  <c r="E47" i="41" s="1"/>
  <c r="D48" i="41" l="1"/>
  <c r="C48" i="41" l="1"/>
  <c r="E48" i="41" s="1"/>
  <c r="D49" i="41" l="1"/>
  <c r="C49" i="41" l="1"/>
  <c r="E49" i="41" s="1"/>
  <c r="D50" i="41" l="1"/>
  <c r="C50" i="41" l="1"/>
  <c r="E50" i="41" s="1"/>
  <c r="D51" i="41" l="1"/>
  <c r="C51" i="41" l="1"/>
  <c r="E51" i="41" s="1"/>
  <c r="D52" i="41" l="1"/>
  <c r="C52" i="41" l="1"/>
  <c r="E52" i="41" s="1"/>
  <c r="D53" i="41" l="1"/>
  <c r="C53" i="41" l="1"/>
  <c r="E53" i="41" s="1"/>
  <c r="D54" i="41" l="1"/>
  <c r="C54" i="41" l="1"/>
  <c r="E54" i="41" s="1"/>
  <c r="D55" i="41" l="1"/>
  <c r="C55" i="41" l="1"/>
  <c r="E55" i="41" s="1"/>
  <c r="D56" i="41" l="1"/>
  <c r="C56" i="41" l="1"/>
  <c r="E56" i="41" s="1"/>
  <c r="D57" i="41" l="1"/>
  <c r="C57" i="41" l="1"/>
  <c r="E57" i="41" s="1"/>
  <c r="D58" i="41" l="1"/>
  <c r="C58" i="41" l="1"/>
  <c r="E58" i="41" s="1"/>
  <c r="D59" i="41" l="1"/>
  <c r="C59" i="41" l="1"/>
  <c r="E59" i="41" s="1"/>
  <c r="D60" i="41" l="1"/>
  <c r="C60" i="41" l="1"/>
  <c r="E60" i="41" s="1"/>
  <c r="D61" i="41" l="1"/>
  <c r="C61" i="41" l="1"/>
  <c r="E61" i="41" s="1"/>
  <c r="D62" i="41" l="1"/>
  <c r="C62" i="41" l="1"/>
  <c r="E62" i="41" s="1"/>
  <c r="D63" i="41" l="1"/>
  <c r="C63" i="41" l="1"/>
  <c r="E63" i="41" s="1"/>
  <c r="D64" i="41" l="1"/>
  <c r="C64" i="41" l="1"/>
  <c r="E64" i="41" s="1"/>
  <c r="D65" i="41" l="1"/>
  <c r="C65" i="41" l="1"/>
  <c r="E65" i="41" s="1"/>
  <c r="D66" i="41" l="1"/>
  <c r="C66" i="41" l="1"/>
  <c r="E66" i="41" s="1"/>
  <c r="D67" i="41" l="1"/>
  <c r="C67" i="41" l="1"/>
  <c r="E67" i="41" s="1"/>
  <c r="D68" i="41" l="1"/>
  <c r="C68" i="41" l="1"/>
  <c r="E68" i="41" s="1"/>
  <c r="D69" i="41" l="1"/>
  <c r="C69" i="41" l="1"/>
  <c r="E69" i="41" s="1"/>
  <c r="D70" i="41" l="1"/>
  <c r="C70" i="41" l="1"/>
  <c r="E70" i="41" s="1"/>
  <c r="D71" i="41" l="1"/>
  <c r="C71" i="41" l="1"/>
  <c r="E71" i="41" s="1"/>
  <c r="D72" i="41" l="1"/>
  <c r="C72" i="41" l="1"/>
  <c r="E72" i="41" s="1"/>
  <c r="D73" i="41" l="1"/>
  <c r="C73" i="41" l="1"/>
  <c r="E73" i="41" s="1"/>
  <c r="D74" i="41" l="1"/>
  <c r="C74" i="41" l="1"/>
  <c r="E74" i="41" s="1"/>
  <c r="D75" i="41" l="1"/>
  <c r="C75" i="41" l="1"/>
  <c r="E75" i="41" s="1"/>
  <c r="D76" i="41" l="1"/>
  <c r="C76" i="41" l="1"/>
  <c r="E76" i="41" s="1"/>
  <c r="D77" i="41" l="1"/>
  <c r="C77" i="41" l="1"/>
  <c r="E77" i="41" s="1"/>
  <c r="D78" i="41" l="1"/>
  <c r="C78" i="41" l="1"/>
  <c r="E78" i="41" s="1"/>
  <c r="D79" i="41" l="1"/>
  <c r="C79" i="41" l="1"/>
  <c r="E79" i="41" s="1"/>
  <c r="D80" i="41" l="1"/>
  <c r="C80" i="41" l="1"/>
  <c r="E80" i="41" s="1"/>
  <c r="D81" i="41" l="1"/>
  <c r="C81" i="41" l="1"/>
  <c r="E81" i="41" s="1"/>
  <c r="D82" i="41" l="1"/>
  <c r="C82" i="41" l="1"/>
  <c r="E82" i="41" s="1"/>
  <c r="D83" i="41" l="1"/>
  <c r="C83" i="41" l="1"/>
  <c r="E83" i="41" s="1"/>
  <c r="D84" i="41" l="1"/>
  <c r="C84" i="41" l="1"/>
  <c r="E84" i="41" s="1"/>
  <c r="D85" i="41" l="1"/>
  <c r="C85" i="41" l="1"/>
  <c r="E85" i="41" s="1"/>
  <c r="D86" i="41" s="1"/>
  <c r="C86" i="41" l="1"/>
  <c r="E86" i="41" s="1"/>
  <c r="D87" i="41" l="1"/>
  <c r="C87" i="41" l="1"/>
  <c r="E87" i="41" s="1"/>
  <c r="D88" i="41" l="1"/>
  <c r="C88" i="41" l="1"/>
  <c r="E88" i="41" s="1"/>
  <c r="D89" i="41" l="1"/>
  <c r="C89" i="41" l="1"/>
  <c r="E89" i="41" s="1"/>
  <c r="D90" i="41" l="1"/>
  <c r="C90" i="41" l="1"/>
  <c r="E90" i="41" s="1"/>
  <c r="D91" i="41" l="1"/>
  <c r="C91" i="41" l="1"/>
  <c r="E91" i="41" s="1"/>
  <c r="D92" i="41" l="1"/>
  <c r="C92" i="41" l="1"/>
  <c r="E92" i="41" s="1"/>
  <c r="D93" i="41" l="1"/>
  <c r="C93" i="41" l="1"/>
  <c r="E93" i="41" s="1"/>
  <c r="D94" i="41" l="1"/>
  <c r="C94" i="41" l="1"/>
  <c r="E94" i="41" s="1"/>
  <c r="D95" i="41" l="1"/>
  <c r="C95" i="41" l="1"/>
  <c r="E95" i="41" s="1"/>
  <c r="D96" i="41" l="1"/>
  <c r="C96" i="41" l="1"/>
  <c r="E96" i="41" s="1"/>
  <c r="D97" i="41" l="1"/>
  <c r="C97" i="41" l="1"/>
  <c r="E97" i="41" s="1"/>
  <c r="D98" i="41" l="1"/>
  <c r="C98" i="41" l="1"/>
  <c r="E98" i="41" s="1"/>
  <c r="D99" i="41" l="1"/>
  <c r="C99" i="41" l="1"/>
  <c r="E99" i="41" s="1"/>
  <c r="D100" i="41" l="1"/>
  <c r="C100" i="41" l="1"/>
  <c r="E100" i="41" s="1"/>
  <c r="D101" i="41" l="1"/>
  <c r="C101" i="41" l="1"/>
  <c r="E101" i="41" s="1"/>
  <c r="D102" i="41" l="1"/>
  <c r="C102" i="41" l="1"/>
  <c r="E102" i="41" s="1"/>
  <c r="D103" i="41" l="1"/>
  <c r="C103" i="41" l="1"/>
  <c r="E103" i="41" s="1"/>
  <c r="D104" i="41" l="1"/>
  <c r="C104" i="41" l="1"/>
  <c r="E104" i="41" s="1"/>
  <c r="D105" i="41" l="1"/>
  <c r="C105" i="41" l="1"/>
  <c r="E105" i="41" s="1"/>
  <c r="D106" i="41" l="1"/>
  <c r="C106" i="41" l="1"/>
  <c r="E106" i="41" s="1"/>
  <c r="D107" i="41" l="1"/>
  <c r="C107" i="41" l="1"/>
  <c r="E107" i="41" s="1"/>
  <c r="D108" i="41" l="1"/>
  <c r="C108" i="41" l="1"/>
  <c r="E108" i="41" s="1"/>
  <c r="D109" i="41" l="1"/>
  <c r="C109" i="41" l="1"/>
  <c r="E109" i="41" s="1"/>
  <c r="D110" i="41" l="1"/>
  <c r="C110" i="41" l="1"/>
  <c r="E110" i="41" s="1"/>
  <c r="D111" i="41" l="1"/>
  <c r="C111" i="41" l="1"/>
  <c r="E111" i="41" s="1"/>
  <c r="D112" i="41" l="1"/>
  <c r="C112" i="41" l="1"/>
  <c r="E112" i="41" s="1"/>
  <c r="D113" i="41" l="1"/>
  <c r="C113" i="41" l="1"/>
  <c r="E113" i="41" s="1"/>
  <c r="D114" i="41" l="1"/>
  <c r="C114" i="41" l="1"/>
  <c r="E114" i="41" s="1"/>
  <c r="D115" i="41" l="1"/>
  <c r="C115" i="41" l="1"/>
  <c r="E115" i="41" s="1"/>
  <c r="D116" i="41" l="1"/>
  <c r="C116" i="41" l="1"/>
  <c r="E116" i="41" s="1"/>
  <c r="D117" i="41" l="1"/>
  <c r="C117" i="41" l="1"/>
  <c r="E117" i="41" s="1"/>
  <c r="D118" i="41" l="1"/>
  <c r="C118" i="41" l="1"/>
  <c r="E118" i="41" s="1"/>
  <c r="D119" i="41" l="1"/>
  <c r="C119" i="41" l="1"/>
  <c r="E119" i="41" s="1"/>
  <c r="D120" i="41" l="1"/>
  <c r="C120" i="41" l="1"/>
  <c r="E120" i="41" s="1"/>
  <c r="D121" i="41" l="1"/>
  <c r="C121" i="41" l="1"/>
  <c r="E121" i="41" s="1"/>
  <c r="D122" i="41" l="1"/>
  <c r="C122" i="41" l="1"/>
  <c r="E122" i="41" s="1"/>
  <c r="D123" i="41" l="1"/>
  <c r="C123" i="41" l="1"/>
  <c r="E123" i="41" s="1"/>
  <c r="D124" i="41" l="1"/>
  <c r="C124" i="41" l="1"/>
  <c r="E124" i="41" s="1"/>
  <c r="D125" i="41" l="1"/>
  <c r="C125" i="41" l="1"/>
  <c r="E125" i="41" s="1"/>
  <c r="D126" i="41" l="1"/>
  <c r="C126" i="41" l="1"/>
  <c r="E126" i="41" s="1"/>
  <c r="D127" i="41" l="1"/>
  <c r="C127" i="41" l="1"/>
  <c r="E127" i="41" s="1"/>
  <c r="D128" i="41" l="1"/>
  <c r="C128" i="41" l="1"/>
  <c r="E128" i="41" s="1"/>
  <c r="D129" i="41" l="1"/>
  <c r="C129" i="41" l="1"/>
  <c r="E129" i="41" s="1"/>
  <c r="D130" i="41" l="1"/>
  <c r="C130" i="41" l="1"/>
  <c r="E130" i="41" s="1"/>
  <c r="D131" i="41" l="1"/>
  <c r="C131" i="41" l="1"/>
  <c r="E131" i="41" s="1"/>
  <c r="D132" i="41" l="1"/>
  <c r="C132" i="41" l="1"/>
  <c r="E132" i="41" s="1"/>
  <c r="D133" i="41" l="1"/>
  <c r="C133" i="41" l="1"/>
  <c r="E133" i="41" s="1"/>
  <c r="D134" i="41" l="1"/>
  <c r="C134" i="41" l="1"/>
  <c r="E134" i="41" s="1"/>
  <c r="D135" i="41" l="1"/>
  <c r="C135" i="41" l="1"/>
  <c r="E135" i="41" s="1"/>
  <c r="D136" i="41" l="1"/>
  <c r="C136" i="41" l="1"/>
  <c r="E136" i="41" s="1"/>
  <c r="D137" i="41" l="1"/>
  <c r="C137" i="41" l="1"/>
  <c r="E137" i="41" s="1"/>
  <c r="D138" i="41" l="1"/>
  <c r="C138" i="41" l="1"/>
  <c r="E138" i="41" s="1"/>
  <c r="D139" i="41" l="1"/>
  <c r="C139" i="41" l="1"/>
  <c r="E139" i="41" s="1"/>
  <c r="D140" i="41" l="1"/>
  <c r="C140" i="41" l="1"/>
  <c r="E140" i="41" s="1"/>
  <c r="D141" i="41" l="1"/>
  <c r="C141" i="41" l="1"/>
  <c r="E141" i="41" s="1"/>
  <c r="D142" i="41" l="1"/>
  <c r="C142" i="41" l="1"/>
  <c r="E142" i="41" s="1"/>
  <c r="D143" i="41" l="1"/>
  <c r="C143" i="41" l="1"/>
  <c r="E143" i="41" s="1"/>
  <c r="D144" i="41" l="1"/>
  <c r="C144" i="41" l="1"/>
  <c r="E144" i="41" s="1"/>
  <c r="D145" i="41" l="1"/>
  <c r="C145" i="41" l="1"/>
  <c r="E145" i="41" s="1"/>
  <c r="D146" i="41" l="1"/>
  <c r="C146" i="41" l="1"/>
  <c r="E146" i="41" s="1"/>
  <c r="D147" i="41" l="1"/>
  <c r="C147" i="41" l="1"/>
  <c r="E147" i="41" s="1"/>
  <c r="D148" i="41" l="1"/>
  <c r="C148" i="41" l="1"/>
  <c r="E148" i="41" s="1"/>
  <c r="D149" i="41" l="1"/>
  <c r="C149" i="41" l="1"/>
  <c r="E149" i="41" s="1"/>
  <c r="D150" i="41" l="1"/>
  <c r="C150" i="41" l="1"/>
  <c r="E150" i="41" s="1"/>
  <c r="D151" i="41" l="1"/>
  <c r="C151" i="41" l="1"/>
  <c r="E151" i="41" s="1"/>
  <c r="D152" i="41" l="1"/>
  <c r="C152" i="41" l="1"/>
  <c r="E152" i="41" s="1"/>
  <c r="D153" i="41" l="1"/>
  <c r="C153" i="41" l="1"/>
  <c r="E153" i="41" s="1"/>
  <c r="D154" i="41" l="1"/>
  <c r="C154" i="41" l="1"/>
  <c r="E154" i="41" s="1"/>
  <c r="D155" i="41" l="1"/>
  <c r="C155" i="41" l="1"/>
  <c r="E155" i="41" s="1"/>
  <c r="D156" i="41" l="1"/>
  <c r="C156" i="41" l="1"/>
  <c r="E156" i="41" s="1"/>
  <c r="D157" i="41" l="1"/>
  <c r="C157" i="41" l="1"/>
  <c r="E157" i="41" s="1"/>
  <c r="D158" i="41" l="1"/>
  <c r="C158" i="41" l="1"/>
  <c r="E158" i="41" s="1"/>
  <c r="D159" i="41" l="1"/>
  <c r="C159" i="41" l="1"/>
  <c r="E159" i="41" s="1"/>
  <c r="D160" i="41" l="1"/>
  <c r="C160" i="41" l="1"/>
  <c r="E160" i="41" s="1"/>
  <c r="D161" i="41" l="1"/>
  <c r="C161" i="41" l="1"/>
  <c r="E161" i="41" s="1"/>
  <c r="D162" i="41" l="1"/>
  <c r="C162" i="41" l="1"/>
  <c r="E162" i="41" s="1"/>
  <c r="D163" i="41" l="1"/>
  <c r="C163" i="41" l="1"/>
  <c r="E163" i="41" s="1"/>
  <c r="D164" i="41" l="1"/>
  <c r="C164" i="41" l="1"/>
  <c r="E164" i="41" s="1"/>
  <c r="D165" i="41" l="1"/>
  <c r="C165" i="41" l="1"/>
  <c r="E165" i="41" s="1"/>
  <c r="D166" i="41" l="1"/>
  <c r="C166" i="41" l="1"/>
  <c r="E166" i="41" s="1"/>
  <c r="D167" i="41" l="1"/>
  <c r="C167" i="41" l="1"/>
  <c r="E167" i="41" s="1"/>
  <c r="D168" i="41" l="1"/>
  <c r="C168" i="41" l="1"/>
  <c r="E168" i="41" s="1"/>
  <c r="D169" i="41" l="1"/>
  <c r="C169" i="41" l="1"/>
  <c r="E169" i="41" s="1"/>
  <c r="D170" i="41" l="1"/>
  <c r="C170" i="41" l="1"/>
  <c r="E170" i="41" s="1"/>
  <c r="D171" i="41" l="1"/>
  <c r="C171" i="41" l="1"/>
  <c r="E171" i="41" s="1"/>
  <c r="D172" i="41" l="1"/>
  <c r="B4" i="32"/>
  <c r="E11" i="32" s="1"/>
  <c r="E44" i="33" l="1"/>
  <c r="G44" i="33" s="1"/>
  <c r="E8" i="32"/>
  <c r="E9" i="32" s="1"/>
  <c r="E5" i="32"/>
  <c r="E6" i="32" s="1"/>
  <c r="B13" i="32"/>
  <c r="B9" i="32"/>
  <c r="E17" i="32"/>
  <c r="D18" i="32" s="1"/>
  <c r="C172" i="41"/>
  <c r="E172" i="41" s="1"/>
  <c r="E15" i="74" l="1"/>
  <c r="F43" i="33"/>
  <c r="G43" i="33" s="1"/>
  <c r="B12" i="32"/>
  <c r="B14" i="32" s="1"/>
  <c r="B73" i="32"/>
  <c r="B75" i="32"/>
  <c r="B121" i="32"/>
  <c r="B185" i="32"/>
  <c r="B67" i="32"/>
  <c r="B129" i="32"/>
  <c r="B108" i="32"/>
  <c r="B10" i="32"/>
  <c r="B33" i="32"/>
  <c r="B25" i="32"/>
  <c r="B99" i="32"/>
  <c r="B105" i="32"/>
  <c r="B139" i="32"/>
  <c r="B211" i="32"/>
  <c r="B217" i="32"/>
  <c r="B243" i="32"/>
  <c r="B307" i="32"/>
  <c r="B275" i="32"/>
  <c r="B76" i="32"/>
  <c r="B249" i="32"/>
  <c r="B123" i="32"/>
  <c r="B313" i="32"/>
  <c r="B57" i="32"/>
  <c r="B28" i="32"/>
  <c r="B100" i="32"/>
  <c r="B193" i="32"/>
  <c r="B60" i="32"/>
  <c r="B289" i="32"/>
  <c r="B203" i="32"/>
  <c r="B41" i="32"/>
  <c r="B83" i="32"/>
  <c r="B131" i="32"/>
  <c r="B235" i="32"/>
  <c r="B259" i="32"/>
  <c r="B44" i="32"/>
  <c r="B59" i="32"/>
  <c r="B92" i="32"/>
  <c r="B51" i="32"/>
  <c r="B81" i="32"/>
  <c r="B147" i="32"/>
  <c r="B89" i="32"/>
  <c r="B115" i="32"/>
  <c r="B155" i="32"/>
  <c r="B163" i="32"/>
  <c r="B52" i="32"/>
  <c r="B49" i="32"/>
  <c r="B179" i="32"/>
  <c r="B219" i="32"/>
  <c r="B195" i="32"/>
  <c r="B97" i="32"/>
  <c r="B68" i="32"/>
  <c r="B315" i="32"/>
  <c r="B227" i="32"/>
  <c r="B153" i="32"/>
  <c r="B196" i="32"/>
  <c r="B291" i="32"/>
  <c r="B35" i="32"/>
  <c r="B244" i="32"/>
  <c r="B187" i="32"/>
  <c r="B283" i="32"/>
  <c r="B19" i="32"/>
  <c r="B125" i="32"/>
  <c r="B161" i="32"/>
  <c r="B225" i="32"/>
  <c r="B61" i="32"/>
  <c r="B77" i="32"/>
  <c r="B65" i="32"/>
  <c r="B84" i="32"/>
  <c r="B107" i="32"/>
  <c r="B137" i="32"/>
  <c r="B233" i="32"/>
  <c r="B251" i="32"/>
  <c r="B297" i="32"/>
  <c r="B253" i="32"/>
  <c r="B171" i="32"/>
  <c r="B133" i="32"/>
  <c r="B173" i="32"/>
  <c r="B281" i="32"/>
  <c r="B20" i="32"/>
  <c r="B299" i="32"/>
  <c r="B43" i="32"/>
  <c r="B27" i="32"/>
  <c r="B269" i="32"/>
  <c r="B132" i="32"/>
  <c r="B212" i="32"/>
  <c r="B36" i="32"/>
  <c r="B201" i="32"/>
  <c r="B148" i="32"/>
  <c r="B188" i="32"/>
  <c r="B86" i="32"/>
  <c r="B110" i="32"/>
  <c r="B190" i="32"/>
  <c r="B260" i="32"/>
  <c r="B292" i="32"/>
  <c r="B181" i="32"/>
  <c r="B254" i="32"/>
  <c r="B169" i="32"/>
  <c r="B91" i="32"/>
  <c r="B109" i="32"/>
  <c r="B145" i="32"/>
  <c r="B117" i="32"/>
  <c r="B166" i="32"/>
  <c r="B310" i="32"/>
  <c r="B177" i="32"/>
  <c r="B300" i="32"/>
  <c r="B205" i="32"/>
  <c r="B220" i="32"/>
  <c r="B209" i="32"/>
  <c r="B316" i="32"/>
  <c r="B237" i="32"/>
  <c r="B273" i="32"/>
  <c r="B53" i="32"/>
  <c r="B245" i="32"/>
  <c r="B267" i="32"/>
  <c r="B164" i="32"/>
  <c r="B101" i="32"/>
  <c r="B309" i="32"/>
  <c r="B22" i="32"/>
  <c r="B79" i="32"/>
  <c r="B54" i="32"/>
  <c r="B135" i="32"/>
  <c r="B62" i="32"/>
  <c r="B70" i="32"/>
  <c r="B305" i="32"/>
  <c r="B21" i="32"/>
  <c r="B229" i="32"/>
  <c r="B118" i="32"/>
  <c r="B55" i="32"/>
  <c r="B29" i="32"/>
  <c r="B149" i="32"/>
  <c r="B277" i="32"/>
  <c r="B126" i="32"/>
  <c r="B151" i="32"/>
  <c r="B37" i="32"/>
  <c r="B157" i="32"/>
  <c r="B285" i="32"/>
  <c r="B134" i="32"/>
  <c r="B45" i="32"/>
  <c r="B165" i="32"/>
  <c r="B301" i="32"/>
  <c r="B150" i="32"/>
  <c r="B257" i="32"/>
  <c r="B265" i="32"/>
  <c r="B113" i="32"/>
  <c r="B228" i="32"/>
  <c r="B69" i="32"/>
  <c r="B197" i="32"/>
  <c r="B38" i="32"/>
  <c r="B230" i="32"/>
  <c r="B247" i="32"/>
  <c r="B198" i="32"/>
  <c r="B214" i="32"/>
  <c r="B141" i="32"/>
  <c r="B261" i="32"/>
  <c r="B94" i="32"/>
  <c r="B278" i="32"/>
  <c r="B167" i="32"/>
  <c r="B271" i="32"/>
  <c r="B294" i="32"/>
  <c r="B302" i="32"/>
  <c r="B221" i="32"/>
  <c r="B30" i="32"/>
  <c r="B158" i="32"/>
  <c r="B174" i="32"/>
  <c r="B116" i="32"/>
  <c r="B78" i="32"/>
  <c r="B182" i="32"/>
  <c r="B156" i="32"/>
  <c r="B241" i="32"/>
  <c r="B284" i="32"/>
  <c r="B85" i="32"/>
  <c r="B189" i="32"/>
  <c r="B293" i="32"/>
  <c r="B102" i="32"/>
  <c r="B206" i="32"/>
  <c r="B23" i="32"/>
  <c r="B252" i="32"/>
  <c r="B308" i="32"/>
  <c r="B46" i="32"/>
  <c r="B142" i="32"/>
  <c r="B270" i="32"/>
  <c r="B39" i="32"/>
  <c r="B31" i="32"/>
  <c r="B263" i="32"/>
  <c r="B222" i="32"/>
  <c r="B140" i="32"/>
  <c r="B47" i="32"/>
  <c r="B48" i="32"/>
  <c r="B64" i="32"/>
  <c r="B238" i="32"/>
  <c r="B180" i="32"/>
  <c r="B63" i="32"/>
  <c r="B246" i="32"/>
  <c r="B204" i="32"/>
  <c r="B71" i="32"/>
  <c r="B262" i="32"/>
  <c r="B236" i="32"/>
  <c r="B127" i="32"/>
  <c r="B32" i="32"/>
  <c r="B95" i="32"/>
  <c r="B111" i="32"/>
  <c r="B119" i="32"/>
  <c r="B159" i="32"/>
  <c r="B72" i="32"/>
  <c r="B104" i="32"/>
  <c r="B207" i="32"/>
  <c r="B136" i="32"/>
  <c r="B223" i="32"/>
  <c r="B231" i="32"/>
  <c r="B286" i="32"/>
  <c r="B268" i="32"/>
  <c r="B103" i="32"/>
  <c r="B255" i="32"/>
  <c r="B96" i="32"/>
  <c r="B279" i="32"/>
  <c r="B176" i="32"/>
  <c r="B175" i="32"/>
  <c r="B287" i="32"/>
  <c r="B184" i="32"/>
  <c r="B183" i="32"/>
  <c r="B295" i="32"/>
  <c r="B232" i="32"/>
  <c r="B87" i="32"/>
  <c r="B191" i="32"/>
  <c r="B303" i="32"/>
  <c r="B199" i="32"/>
  <c r="B311" i="32"/>
  <c r="B215" i="32"/>
  <c r="B24" i="32"/>
  <c r="B264" i="32"/>
  <c r="B280" i="32"/>
  <c r="B56" i="32"/>
  <c r="B26" i="32"/>
  <c r="B34" i="32"/>
  <c r="B80" i="32"/>
  <c r="B88" i="32"/>
  <c r="B18" i="32"/>
  <c r="C18" i="32" s="1"/>
  <c r="E18" i="32" s="1"/>
  <c r="D19" i="32" s="1"/>
  <c r="B112" i="32"/>
  <c r="B128" i="32"/>
  <c r="B168" i="32"/>
  <c r="B42" i="32"/>
  <c r="B152" i="32"/>
  <c r="B160" i="32"/>
  <c r="B224" i="32"/>
  <c r="B50" i="32"/>
  <c r="B58" i="32"/>
  <c r="B240" i="32"/>
  <c r="B66" i="32"/>
  <c r="B248" i="32"/>
  <c r="B256" i="32"/>
  <c r="B143" i="32"/>
  <c r="B239" i="32"/>
  <c r="B40" i="32"/>
  <c r="B144" i="32"/>
  <c r="B272" i="32"/>
  <c r="B82" i="32"/>
  <c r="B192" i="32"/>
  <c r="B288" i="32"/>
  <c r="B106" i="32"/>
  <c r="B200" i="32"/>
  <c r="B296" i="32"/>
  <c r="B138" i="32"/>
  <c r="B208" i="32"/>
  <c r="B304" i="32"/>
  <c r="B120" i="32"/>
  <c r="B216" i="32"/>
  <c r="B312" i="32"/>
  <c r="B98" i="32"/>
  <c r="B114" i="32"/>
  <c r="B170" i="32"/>
  <c r="B194" i="32"/>
  <c r="B234" i="32"/>
  <c r="B242" i="32"/>
  <c r="B74" i="32"/>
  <c r="B90" i="32"/>
  <c r="B266" i="32"/>
  <c r="B122" i="32"/>
  <c r="B130" i="32"/>
  <c r="B250" i="32"/>
  <c r="B146" i="32"/>
  <c r="B154" i="32"/>
  <c r="B274" i="32"/>
  <c r="B162" i="32"/>
  <c r="B178" i="32"/>
  <c r="B186" i="32"/>
  <c r="B282" i="32"/>
  <c r="B202" i="32"/>
  <c r="B210" i="32"/>
  <c r="B218" i="32"/>
  <c r="B226" i="32"/>
  <c r="B124" i="32"/>
  <c r="B172" i="32"/>
  <c r="B93" i="32"/>
  <c r="B258" i="32"/>
  <c r="B298" i="32"/>
  <c r="B213" i="32"/>
  <c r="B317" i="32"/>
  <c r="B290" i="32"/>
  <c r="B276" i="32"/>
  <c r="B306" i="32"/>
  <c r="B314" i="32"/>
  <c r="D173" i="41"/>
  <c r="E10" i="74" l="1"/>
  <c r="C19" i="32"/>
  <c r="E19" i="32" s="1"/>
  <c r="D20" i="32" s="1"/>
  <c r="C20" i="32" s="1"/>
  <c r="E20" i="32" s="1"/>
  <c r="D21" i="32" s="1"/>
  <c r="C21" i="32" s="1"/>
  <c r="E21" i="32" s="1"/>
  <c r="D22" i="32" s="1"/>
  <c r="C22" i="32" s="1"/>
  <c r="E22" i="32" s="1"/>
  <c r="D23" i="32" s="1"/>
  <c r="C23" i="32" s="1"/>
  <c r="E23" i="32" s="1"/>
  <c r="D24" i="32" s="1"/>
  <c r="C24" i="32" s="1"/>
  <c r="E24" i="32" s="1"/>
  <c r="D25" i="32" s="1"/>
  <c r="C25" i="32" s="1"/>
  <c r="E25" i="32" s="1"/>
  <c r="D26" i="32" s="1"/>
  <c r="C26" i="32" s="1"/>
  <c r="E26" i="32" s="1"/>
  <c r="D27" i="32" s="1"/>
  <c r="C27" i="32" s="1"/>
  <c r="E27" i="32" s="1"/>
  <c r="D28" i="32" s="1"/>
  <c r="C28" i="32" s="1"/>
  <c r="E28" i="32" s="1"/>
  <c r="D29" i="32" s="1"/>
  <c r="C29" i="32" s="1"/>
  <c r="E29" i="32" s="1"/>
  <c r="D30" i="32" s="1"/>
  <c r="C30" i="32" s="1"/>
  <c r="E30" i="32" s="1"/>
  <c r="D31" i="32" s="1"/>
  <c r="C31" i="32" s="1"/>
  <c r="E31" i="32" s="1"/>
  <c r="D32" i="32" s="1"/>
  <c r="C32" i="32" s="1"/>
  <c r="E32" i="32" s="1"/>
  <c r="D33" i="32" s="1"/>
  <c r="C33" i="32" s="1"/>
  <c r="E33" i="32" s="1"/>
  <c r="D34" i="32" s="1"/>
  <c r="C34" i="32" s="1"/>
  <c r="E34" i="32" s="1"/>
  <c r="D35" i="32" s="1"/>
  <c r="C35" i="32" s="1"/>
  <c r="E35" i="32" s="1"/>
  <c r="D36" i="32" s="1"/>
  <c r="C36" i="32" s="1"/>
  <c r="E36" i="32" s="1"/>
  <c r="D37" i="32" s="1"/>
  <c r="C37" i="32" s="1"/>
  <c r="E37" i="32" s="1"/>
  <c r="D38" i="32" s="1"/>
  <c r="C38" i="32" s="1"/>
  <c r="E38" i="32" s="1"/>
  <c r="D39" i="32" s="1"/>
  <c r="C39" i="32" s="1"/>
  <c r="E39" i="32" s="1"/>
  <c r="D40" i="32" s="1"/>
  <c r="C40" i="32" s="1"/>
  <c r="E40" i="32" s="1"/>
  <c r="D41" i="32" s="1"/>
  <c r="C41" i="32" s="1"/>
  <c r="E41" i="32" s="1"/>
  <c r="D42" i="32" s="1"/>
  <c r="C42" i="32" s="1"/>
  <c r="E42" i="32" s="1"/>
  <c r="D43" i="32" s="1"/>
  <c r="C43" i="32" s="1"/>
  <c r="E43" i="32" s="1"/>
  <c r="D44" i="32" s="1"/>
  <c r="C44" i="32" s="1"/>
  <c r="E44" i="32" s="1"/>
  <c r="D45" i="32" s="1"/>
  <c r="C45" i="32" s="1"/>
  <c r="E45" i="32" s="1"/>
  <c r="C173" i="41"/>
  <c r="E173" i="41" s="1"/>
  <c r="E14" i="74" l="1"/>
  <c r="E13" i="74"/>
  <c r="D46" i="32"/>
  <c r="C46" i="32" s="1"/>
  <c r="E46" i="32" s="1"/>
  <c r="D47" i="32" s="1"/>
  <c r="C47" i="32" s="1"/>
  <c r="E47" i="32" s="1"/>
  <c r="D48" i="32" s="1"/>
  <c r="C48" i="32" s="1"/>
  <c r="E48" i="32" s="1"/>
  <c r="D49" i="32" s="1"/>
  <c r="C49" i="32" s="1"/>
  <c r="E49" i="32" s="1"/>
  <c r="D50" i="32" s="1"/>
  <c r="C50" i="32" s="1"/>
  <c r="E50" i="32" s="1"/>
  <c r="D51" i="32" s="1"/>
  <c r="C51" i="32" s="1"/>
  <c r="E51" i="32" s="1"/>
  <c r="D52" i="32" s="1"/>
  <c r="C52" i="32" s="1"/>
  <c r="E52" i="32" s="1"/>
  <c r="D53" i="32" s="1"/>
  <c r="C53" i="32" s="1"/>
  <c r="E53" i="32" s="1"/>
  <c r="D54" i="32" s="1"/>
  <c r="C54" i="32" s="1"/>
  <c r="E54" i="32" s="1"/>
  <c r="D55" i="32" s="1"/>
  <c r="C55" i="32" s="1"/>
  <c r="E55" i="32" s="1"/>
  <c r="D56" i="32" s="1"/>
  <c r="C56" i="32" s="1"/>
  <c r="E56" i="32" s="1"/>
  <c r="D57" i="32" s="1"/>
  <c r="C57" i="32" s="1"/>
  <c r="E57" i="32" s="1"/>
  <c r="D58" i="32" s="1"/>
  <c r="C58" i="32" s="1"/>
  <c r="E58" i="32" s="1"/>
  <c r="D59" i="32" s="1"/>
  <c r="C59" i="32" s="1"/>
  <c r="E59" i="32" s="1"/>
  <c r="D60" i="32" s="1"/>
  <c r="C60" i="32" s="1"/>
  <c r="E60" i="32" s="1"/>
  <c r="D61" i="32" s="1"/>
  <c r="C61" i="32" s="1"/>
  <c r="E61" i="32" s="1"/>
  <c r="D174" i="41"/>
  <c r="E26" i="74" l="1"/>
  <c r="E25" i="74"/>
  <c r="E27" i="74"/>
  <c r="D62" i="32"/>
  <c r="C62" i="32" s="1"/>
  <c r="E62" i="32" s="1"/>
  <c r="D63" i="32" s="1"/>
  <c r="C63" i="32" s="1"/>
  <c r="E63" i="32" s="1"/>
  <c r="D64" i="32" s="1"/>
  <c r="C64" i="32" s="1"/>
  <c r="E64" i="32" s="1"/>
  <c r="D65" i="32" s="1"/>
  <c r="C65" i="32" s="1"/>
  <c r="E65" i="32" s="1"/>
  <c r="D66" i="32" s="1"/>
  <c r="C66" i="32" s="1"/>
  <c r="E66" i="32" s="1"/>
  <c r="D67" i="32" s="1"/>
  <c r="C67" i="32" s="1"/>
  <c r="E67" i="32" s="1"/>
  <c r="D68" i="32" s="1"/>
  <c r="C68" i="32" s="1"/>
  <c r="E68" i="32" s="1"/>
  <c r="C174" i="41"/>
  <c r="E174" i="41" s="1"/>
  <c r="D69" i="32" l="1"/>
  <c r="C69" i="32" s="1"/>
  <c r="E69" i="32" s="1"/>
  <c r="D70" i="32" s="1"/>
  <c r="C70" i="32" s="1"/>
  <c r="E70" i="32" s="1"/>
  <c r="D71" i="32" s="1"/>
  <c r="C71" i="32" s="1"/>
  <c r="E71" i="32" s="1"/>
  <c r="D72" i="32" s="1"/>
  <c r="C72" i="32" s="1"/>
  <c r="E72" i="32" s="1"/>
  <c r="D73" i="32" s="1"/>
  <c r="C73" i="32" s="1"/>
  <c r="E73" i="32" s="1"/>
  <c r="D74" i="32" s="1"/>
  <c r="C74" i="32" s="1"/>
  <c r="E74" i="32" s="1"/>
  <c r="D75" i="32" s="1"/>
  <c r="C75" i="32" s="1"/>
  <c r="E75" i="32" s="1"/>
  <c r="D76" i="32" s="1"/>
  <c r="C76" i="32" s="1"/>
  <c r="E76" i="32" s="1"/>
  <c r="D77" i="32" s="1"/>
  <c r="C77" i="32" s="1"/>
  <c r="E77" i="32" s="1"/>
  <c r="D78" i="32" s="1"/>
  <c r="C78" i="32" s="1"/>
  <c r="E78" i="32" s="1"/>
  <c r="D175" i="41"/>
  <c r="D79" i="32" l="1"/>
  <c r="C79" i="32" s="1"/>
  <c r="E79" i="32" s="1"/>
  <c r="D80" i="32" s="1"/>
  <c r="C80" i="32" s="1"/>
  <c r="E80" i="32" s="1"/>
  <c r="D81" i="32" s="1"/>
  <c r="C81" i="32" s="1"/>
  <c r="E81" i="32" s="1"/>
  <c r="D82" i="32" s="1"/>
  <c r="C82" i="32" s="1"/>
  <c r="E82" i="32" s="1"/>
  <c r="D83" i="32" s="1"/>
  <c r="C83" i="32" s="1"/>
  <c r="E83" i="32" s="1"/>
  <c r="C175" i="41"/>
  <c r="E175" i="41" s="1"/>
  <c r="D84" i="32" l="1"/>
  <c r="C84" i="32" s="1"/>
  <c r="E84" i="32" s="1"/>
  <c r="D176" i="41"/>
  <c r="D85" i="32" l="1"/>
  <c r="C85" i="32" s="1"/>
  <c r="E85" i="32" s="1"/>
  <c r="D86" i="32" s="1"/>
  <c r="C86" i="32" s="1"/>
  <c r="E86" i="32" s="1"/>
  <c r="D87" i="32" s="1"/>
  <c r="C87" i="32" s="1"/>
  <c r="E87" i="32" s="1"/>
  <c r="D88" i="32" s="1"/>
  <c r="C88" i="32" s="1"/>
  <c r="E88" i="32" s="1"/>
  <c r="D89" i="32" s="1"/>
  <c r="C89" i="32" s="1"/>
  <c r="E89" i="32" s="1"/>
  <c r="D90" i="32" s="1"/>
  <c r="C90" i="32" s="1"/>
  <c r="E90" i="32" s="1"/>
  <c r="D91" i="32" s="1"/>
  <c r="C91" i="32" s="1"/>
  <c r="E91" i="32" s="1"/>
  <c r="D92" i="32" s="1"/>
  <c r="C92" i="32" s="1"/>
  <c r="E92" i="32" s="1"/>
  <c r="C176" i="41"/>
  <c r="E176" i="41" s="1"/>
  <c r="D93" i="32" l="1"/>
  <c r="C93" i="32" s="1"/>
  <c r="E93" i="32" s="1"/>
  <c r="D94" i="32" s="1"/>
  <c r="C94" i="32" s="1"/>
  <c r="E94" i="32" s="1"/>
  <c r="D95" i="32" s="1"/>
  <c r="C95" i="32" s="1"/>
  <c r="E95" i="32" s="1"/>
  <c r="D96" i="32" s="1"/>
  <c r="C96" i="32" s="1"/>
  <c r="E96" i="32" s="1"/>
  <c r="D177" i="41"/>
  <c r="D97" i="32" l="1"/>
  <c r="C97" i="32" s="1"/>
  <c r="E97" i="32" s="1"/>
  <c r="D98" i="32" s="1"/>
  <c r="C98" i="32" s="1"/>
  <c r="E98" i="32" s="1"/>
  <c r="D99" i="32" s="1"/>
  <c r="C99" i="32" s="1"/>
  <c r="E99" i="32" s="1"/>
  <c r="D100" i="32" s="1"/>
  <c r="C100" i="32" s="1"/>
  <c r="E100" i="32" s="1"/>
  <c r="C177" i="41"/>
  <c r="E177" i="41" s="1"/>
  <c r="D101" i="32" l="1"/>
  <c r="C101" i="32" s="1"/>
  <c r="E101" i="32" s="1"/>
  <c r="D102" i="32" s="1"/>
  <c r="C102" i="32" s="1"/>
  <c r="E102" i="32" s="1"/>
  <c r="D103" i="32" s="1"/>
  <c r="C103" i="32" s="1"/>
  <c r="E103" i="32" s="1"/>
  <c r="D178" i="41"/>
  <c r="D104" i="32" l="1"/>
  <c r="C104" i="32" s="1"/>
  <c r="E104" i="32" s="1"/>
  <c r="D105" i="32" s="1"/>
  <c r="C105" i="32" s="1"/>
  <c r="E105" i="32" s="1"/>
  <c r="D106" i="32" s="1"/>
  <c r="C106" i="32" s="1"/>
  <c r="E106" i="32" s="1"/>
  <c r="D107" i="32" s="1"/>
  <c r="C107" i="32" s="1"/>
  <c r="E107" i="32" s="1"/>
  <c r="D108" i="32" s="1"/>
  <c r="C108" i="32" s="1"/>
  <c r="E108" i="32" s="1"/>
  <c r="D109" i="32" s="1"/>
  <c r="C109" i="32" s="1"/>
  <c r="E109" i="32" s="1"/>
  <c r="D110" i="32" s="1"/>
  <c r="C110" i="32" s="1"/>
  <c r="E110" i="32" s="1"/>
  <c r="D111" i="32" s="1"/>
  <c r="C111" i="32" s="1"/>
  <c r="E111" i="32" s="1"/>
  <c r="D112" i="32" s="1"/>
  <c r="C112" i="32" s="1"/>
  <c r="E112" i="32" s="1"/>
  <c r="D113" i="32" s="1"/>
  <c r="C113" i="32" s="1"/>
  <c r="E113" i="32" s="1"/>
  <c r="D114" i="32" s="1"/>
  <c r="C114" i="32" s="1"/>
  <c r="E114" i="32" s="1"/>
  <c r="D115" i="32" s="1"/>
  <c r="C115" i="32" s="1"/>
  <c r="E115" i="32" s="1"/>
  <c r="D116" i="32" s="1"/>
  <c r="C116" i="32" s="1"/>
  <c r="E116" i="32" s="1"/>
  <c r="C178" i="41"/>
  <c r="E178" i="41" s="1"/>
  <c r="D117" i="32" l="1"/>
  <c r="C117" i="32" s="1"/>
  <c r="E117" i="32" s="1"/>
  <c r="D118" i="32" s="1"/>
  <c r="C118" i="32" s="1"/>
  <c r="E118" i="32" s="1"/>
  <c r="D119" i="32" s="1"/>
  <c r="C119" i="32" s="1"/>
  <c r="E119" i="32" s="1"/>
  <c r="D120" i="32" s="1"/>
  <c r="C120" i="32" s="1"/>
  <c r="E120" i="32" s="1"/>
  <c r="D121" i="32" s="1"/>
  <c r="C121" i="32" s="1"/>
  <c r="E121" i="32" s="1"/>
  <c r="D122" i="32" s="1"/>
  <c r="C122" i="32" s="1"/>
  <c r="E122" i="32" s="1"/>
  <c r="D179" i="41"/>
  <c r="D123" i="32" l="1"/>
  <c r="C123" i="32" s="1"/>
  <c r="E123" i="32" s="1"/>
  <c r="D124" i="32" s="1"/>
  <c r="C124" i="32" s="1"/>
  <c r="E124" i="32" s="1"/>
  <c r="D125" i="32" s="1"/>
  <c r="C125" i="32" s="1"/>
  <c r="E125" i="32" s="1"/>
  <c r="D126" i="32" s="1"/>
  <c r="C126" i="32" s="1"/>
  <c r="E126" i="32" s="1"/>
  <c r="C179" i="41"/>
  <c r="E179" i="41" s="1"/>
  <c r="D127" i="32" l="1"/>
  <c r="C127" i="32" s="1"/>
  <c r="E127" i="32" s="1"/>
  <c r="D128" i="32" s="1"/>
  <c r="C128" i="32" s="1"/>
  <c r="E128" i="32" s="1"/>
  <c r="D180" i="41"/>
  <c r="D129" i="32" l="1"/>
  <c r="C129" i="32" s="1"/>
  <c r="E129" i="32" s="1"/>
  <c r="D130" i="32" s="1"/>
  <c r="C130" i="32" s="1"/>
  <c r="E130" i="32" s="1"/>
  <c r="D131" i="32" s="1"/>
  <c r="C131" i="32" s="1"/>
  <c r="E131" i="32" s="1"/>
  <c r="D132" i="32" s="1"/>
  <c r="C132" i="32" s="1"/>
  <c r="E132" i="32" s="1"/>
  <c r="D133" i="32" s="1"/>
  <c r="C133" i="32" s="1"/>
  <c r="E133" i="32" s="1"/>
  <c r="C180" i="41"/>
  <c r="E180" i="41" s="1"/>
  <c r="D134" i="32" l="1"/>
  <c r="C134" i="32" s="1"/>
  <c r="E134" i="32" s="1"/>
  <c r="D135" i="32" s="1"/>
  <c r="C135" i="32" s="1"/>
  <c r="E135" i="32" s="1"/>
  <c r="D136" i="32" s="1"/>
  <c r="C136" i="32" s="1"/>
  <c r="E136" i="32" s="1"/>
  <c r="D137" i="32" s="1"/>
  <c r="C137" i="32" s="1"/>
  <c r="E137" i="32" s="1"/>
  <c r="D138" i="32" s="1"/>
  <c r="C138" i="32" s="1"/>
  <c r="E138" i="32" s="1"/>
  <c r="D139" i="32" s="1"/>
  <c r="C139" i="32" s="1"/>
  <c r="E139" i="32" s="1"/>
  <c r="D140" i="32" s="1"/>
  <c r="C140" i="32" s="1"/>
  <c r="E140" i="32" s="1"/>
  <c r="D141" i="32" s="1"/>
  <c r="C141" i="32" s="1"/>
  <c r="E141" i="32" s="1"/>
  <c r="D142" i="32" s="1"/>
  <c r="C142" i="32" s="1"/>
  <c r="E142" i="32" s="1"/>
  <c r="D181" i="41"/>
  <c r="D143" i="32" l="1"/>
  <c r="C143" i="32" s="1"/>
  <c r="E143" i="32" s="1"/>
  <c r="D144" i="32" s="1"/>
  <c r="C144" i="32" s="1"/>
  <c r="E144" i="32" s="1"/>
  <c r="D145" i="32" s="1"/>
  <c r="C145" i="32" s="1"/>
  <c r="E145" i="32" s="1"/>
  <c r="D146" i="32" s="1"/>
  <c r="C146" i="32" s="1"/>
  <c r="E146" i="32" s="1"/>
  <c r="D147" i="32" s="1"/>
  <c r="C147" i="32" s="1"/>
  <c r="E147" i="32" s="1"/>
  <c r="D148" i="32" s="1"/>
  <c r="C148" i="32" s="1"/>
  <c r="E148" i="32" s="1"/>
  <c r="D149" i="32" s="1"/>
  <c r="C149" i="32" s="1"/>
  <c r="E149" i="32" s="1"/>
  <c r="D150" i="32" s="1"/>
  <c r="C150" i="32" s="1"/>
  <c r="E150" i="32" s="1"/>
  <c r="D151" i="32" s="1"/>
  <c r="C151" i="32" s="1"/>
  <c r="E151" i="32" s="1"/>
  <c r="D152" i="32" s="1"/>
  <c r="C152" i="32" s="1"/>
  <c r="E152" i="32" s="1"/>
  <c r="D153" i="32" s="1"/>
  <c r="C153" i="32" s="1"/>
  <c r="E153" i="32" s="1"/>
  <c r="D154" i="32" s="1"/>
  <c r="C154" i="32" s="1"/>
  <c r="E154" i="32" s="1"/>
  <c r="D155" i="32" s="1"/>
  <c r="C155" i="32" s="1"/>
  <c r="E155" i="32" s="1"/>
  <c r="D156" i="32" s="1"/>
  <c r="C156" i="32" s="1"/>
  <c r="E156" i="32" s="1"/>
  <c r="D157" i="32" s="1"/>
  <c r="C157" i="32" s="1"/>
  <c r="E157" i="32" s="1"/>
  <c r="C181" i="41"/>
  <c r="E181" i="41" s="1"/>
  <c r="D158" i="32" l="1"/>
  <c r="C158" i="32" s="1"/>
  <c r="E158" i="32" s="1"/>
  <c r="D159" i="32" s="1"/>
  <c r="C159" i="32" s="1"/>
  <c r="E159" i="32" s="1"/>
  <c r="D160" i="32" s="1"/>
  <c r="C160" i="32" s="1"/>
  <c r="E160" i="32" s="1"/>
  <c r="D161" i="32" s="1"/>
  <c r="C161" i="32" s="1"/>
  <c r="E161" i="32" s="1"/>
  <c r="D182" i="41"/>
  <c r="D162" i="32" l="1"/>
  <c r="C162" i="32" s="1"/>
  <c r="E162" i="32" s="1"/>
  <c r="D163" i="32" s="1"/>
  <c r="C163" i="32" s="1"/>
  <c r="E163" i="32" s="1"/>
  <c r="D164" i="32" s="1"/>
  <c r="C164" i="32" s="1"/>
  <c r="E164" i="32" s="1"/>
  <c r="D165" i="32" s="1"/>
  <c r="C165" i="32" s="1"/>
  <c r="E165" i="32" s="1"/>
  <c r="C182" i="41"/>
  <c r="E182" i="41" s="1"/>
  <c r="D166" i="32" l="1"/>
  <c r="C166" i="32" s="1"/>
  <c r="E166" i="32" s="1"/>
  <c r="D167" i="32" s="1"/>
  <c r="C167" i="32" s="1"/>
  <c r="E167" i="32" s="1"/>
  <c r="D168" i="32" s="1"/>
  <c r="C168" i="32" s="1"/>
  <c r="E168" i="32" s="1"/>
  <c r="D169" i="32" s="1"/>
  <c r="C169" i="32" s="1"/>
  <c r="E169" i="32" s="1"/>
  <c r="D170" i="32" s="1"/>
  <c r="C170" i="32" s="1"/>
  <c r="E170" i="32" s="1"/>
  <c r="D171" i="32" s="1"/>
  <c r="C171" i="32" s="1"/>
  <c r="E171" i="32" s="1"/>
  <c r="D172" i="32" s="1"/>
  <c r="C172" i="32" s="1"/>
  <c r="E172" i="32" s="1"/>
  <c r="D173" i="32" s="1"/>
  <c r="C173" i="32" s="1"/>
  <c r="E173" i="32" s="1"/>
  <c r="D174" i="32" s="1"/>
  <c r="C174" i="32" s="1"/>
  <c r="E174" i="32" s="1"/>
  <c r="D175" i="32" s="1"/>
  <c r="C175" i="32" s="1"/>
  <c r="E175" i="32" s="1"/>
  <c r="D176" i="32" s="1"/>
  <c r="C176" i="32" s="1"/>
  <c r="E176" i="32" s="1"/>
  <c r="D177" i="32" s="1"/>
  <c r="C177" i="32" s="1"/>
  <c r="E177" i="32" s="1"/>
  <c r="D183" i="41"/>
  <c r="D178" i="32" l="1"/>
  <c r="C178" i="32" s="1"/>
  <c r="E178" i="32" s="1"/>
  <c r="D179" i="32" s="1"/>
  <c r="C179" i="32" s="1"/>
  <c r="E179" i="32" s="1"/>
  <c r="D180" i="32" s="1"/>
  <c r="C180" i="32" s="1"/>
  <c r="E180" i="32" s="1"/>
  <c r="D181" i="32" s="1"/>
  <c r="C181" i="32" s="1"/>
  <c r="E181" i="32" s="1"/>
  <c r="D182" i="32" s="1"/>
  <c r="C182" i="32" s="1"/>
  <c r="E182" i="32" s="1"/>
  <c r="D183" i="32" s="1"/>
  <c r="C183" i="32" s="1"/>
  <c r="E183" i="32" s="1"/>
  <c r="D184" i="32" s="1"/>
  <c r="C184" i="32" s="1"/>
  <c r="E184" i="32" s="1"/>
  <c r="D185" i="32" s="1"/>
  <c r="C185" i="32" s="1"/>
  <c r="E185" i="32" s="1"/>
  <c r="D186" i="32" s="1"/>
  <c r="C186" i="32" s="1"/>
  <c r="E186" i="32" s="1"/>
  <c r="D187" i="32" s="1"/>
  <c r="C187" i="32" s="1"/>
  <c r="E187" i="32" s="1"/>
  <c r="D188" i="32" s="1"/>
  <c r="C188" i="32" s="1"/>
  <c r="E188" i="32" s="1"/>
  <c r="D189" i="32" s="1"/>
  <c r="C189" i="32" s="1"/>
  <c r="E189" i="32" s="1"/>
  <c r="C183" i="41"/>
  <c r="E183" i="41" s="1"/>
  <c r="D190" i="32" l="1"/>
  <c r="C190" i="32" s="1"/>
  <c r="E190" i="32" s="1"/>
  <c r="D191" i="32" s="1"/>
  <c r="C191" i="32" s="1"/>
  <c r="E191" i="32" s="1"/>
  <c r="D192" i="32" s="1"/>
  <c r="C192" i="32" s="1"/>
  <c r="E192" i="32" s="1"/>
  <c r="D193" i="32" s="1"/>
  <c r="C193" i="32" s="1"/>
  <c r="E193" i="32" s="1"/>
  <c r="D184" i="41"/>
  <c r="D194" i="32" l="1"/>
  <c r="C194" i="32" s="1"/>
  <c r="E194" i="32" s="1"/>
  <c r="D195" i="32" s="1"/>
  <c r="C195" i="32" s="1"/>
  <c r="E195" i="32" s="1"/>
  <c r="D196" i="32" s="1"/>
  <c r="C196" i="32" s="1"/>
  <c r="E196" i="32" s="1"/>
  <c r="D197" i="32" s="1"/>
  <c r="C197" i="32" s="1"/>
  <c r="E197" i="32" s="1"/>
  <c r="D198" i="32" s="1"/>
  <c r="C198" i="32" s="1"/>
  <c r="E198" i="32" s="1"/>
  <c r="D199" i="32" s="1"/>
  <c r="C199" i="32" s="1"/>
  <c r="E199" i="32" s="1"/>
  <c r="D200" i="32" s="1"/>
  <c r="C200" i="32" s="1"/>
  <c r="E200" i="32" s="1"/>
  <c r="D201" i="32" s="1"/>
  <c r="C201" i="32" s="1"/>
  <c r="E201" i="32" s="1"/>
  <c r="D202" i="32" s="1"/>
  <c r="C202" i="32" s="1"/>
  <c r="E202" i="32" s="1"/>
  <c r="D203" i="32" s="1"/>
  <c r="C203" i="32" s="1"/>
  <c r="E203" i="32" s="1"/>
  <c r="C184" i="41"/>
  <c r="E184" i="41" s="1"/>
  <c r="D204" i="32" l="1"/>
  <c r="C204" i="32" s="1"/>
  <c r="E204" i="32" s="1"/>
  <c r="D205" i="32" s="1"/>
  <c r="C205" i="32" s="1"/>
  <c r="E205" i="32" s="1"/>
  <c r="D206" i="32" s="1"/>
  <c r="C206" i="32" s="1"/>
  <c r="E206" i="32" s="1"/>
  <c r="D207" i="32" s="1"/>
  <c r="C207" i="32" s="1"/>
  <c r="E207" i="32" s="1"/>
  <c r="D208" i="32" s="1"/>
  <c r="C208" i="32" s="1"/>
  <c r="E208" i="32" s="1"/>
  <c r="D209" i="32" s="1"/>
  <c r="C209" i="32" s="1"/>
  <c r="E209" i="32" s="1"/>
  <c r="D185" i="41"/>
  <c r="D210" i="32" l="1"/>
  <c r="C210" i="32" s="1"/>
  <c r="E210" i="32" s="1"/>
  <c r="D211" i="32" s="1"/>
  <c r="C211" i="32" s="1"/>
  <c r="E211" i="32" s="1"/>
  <c r="D212" i="32" s="1"/>
  <c r="C212" i="32" s="1"/>
  <c r="E212" i="32" s="1"/>
  <c r="D213" i="32" s="1"/>
  <c r="C213" i="32" s="1"/>
  <c r="E213" i="32" s="1"/>
  <c r="D214" i="32" s="1"/>
  <c r="C214" i="32" s="1"/>
  <c r="E214" i="32" s="1"/>
  <c r="D215" i="32" s="1"/>
  <c r="C215" i="32" s="1"/>
  <c r="E215" i="32" s="1"/>
  <c r="D216" i="32" s="1"/>
  <c r="C216" i="32" s="1"/>
  <c r="E216" i="32" s="1"/>
  <c r="D217" i="32" s="1"/>
  <c r="C217" i="32" s="1"/>
  <c r="E217" i="32" s="1"/>
  <c r="D218" i="32" s="1"/>
  <c r="C218" i="32" s="1"/>
  <c r="E218" i="32" s="1"/>
  <c r="D219" i="32" s="1"/>
  <c r="C219" i="32" s="1"/>
  <c r="E219" i="32" s="1"/>
  <c r="C185" i="41"/>
  <c r="E185" i="41" s="1"/>
  <c r="D220" i="32" l="1"/>
  <c r="C220" i="32" s="1"/>
  <c r="E220" i="32" s="1"/>
  <c r="D221" i="32" s="1"/>
  <c r="C221" i="32" s="1"/>
  <c r="E221" i="32" s="1"/>
  <c r="D186" i="41"/>
  <c r="D222" i="32" l="1"/>
  <c r="C222" i="32" s="1"/>
  <c r="E222" i="32" s="1"/>
  <c r="D223" i="32" s="1"/>
  <c r="C223" i="32" s="1"/>
  <c r="E223" i="32" s="1"/>
  <c r="C186" i="41"/>
  <c r="E186" i="41" s="1"/>
  <c r="D224" i="32" l="1"/>
  <c r="C224" i="32" s="1"/>
  <c r="E224" i="32" s="1"/>
  <c r="D225" i="32" s="1"/>
  <c r="C225" i="32" s="1"/>
  <c r="E225" i="32" s="1"/>
  <c r="D226" i="32" s="1"/>
  <c r="C226" i="32" s="1"/>
  <c r="E226" i="32" s="1"/>
  <c r="D227" i="32" s="1"/>
  <c r="C227" i="32" s="1"/>
  <c r="E227" i="32" s="1"/>
  <c r="D228" i="32" s="1"/>
  <c r="C228" i="32" s="1"/>
  <c r="E228" i="32" s="1"/>
  <c r="D229" i="32" s="1"/>
  <c r="C229" i="32" s="1"/>
  <c r="E229" i="32" s="1"/>
  <c r="D230" i="32" s="1"/>
  <c r="C230" i="32" s="1"/>
  <c r="E230" i="32" s="1"/>
  <c r="D231" i="32" s="1"/>
  <c r="C231" i="32" s="1"/>
  <c r="E231" i="32" s="1"/>
  <c r="D232" i="32" s="1"/>
  <c r="C232" i="32" s="1"/>
  <c r="E232" i="32" s="1"/>
  <c r="D233" i="32" s="1"/>
  <c r="C233" i="32" s="1"/>
  <c r="E233" i="32" s="1"/>
  <c r="D234" i="32" s="1"/>
  <c r="C234" i="32" s="1"/>
  <c r="E234" i="32" s="1"/>
  <c r="D235" i="32" s="1"/>
  <c r="C235" i="32" s="1"/>
  <c r="E235" i="32" s="1"/>
  <c r="D236" i="32" s="1"/>
  <c r="C236" i="32" s="1"/>
  <c r="E236" i="32" s="1"/>
  <c r="D237" i="32" s="1"/>
  <c r="C237" i="32" s="1"/>
  <c r="E237" i="32" s="1"/>
  <c r="D187" i="41"/>
  <c r="D238" i="32" l="1"/>
  <c r="C238" i="32" s="1"/>
  <c r="E238" i="32" s="1"/>
  <c r="D239" i="32" s="1"/>
  <c r="C239" i="32" s="1"/>
  <c r="E239" i="32" s="1"/>
  <c r="D240" i="32" s="1"/>
  <c r="C240" i="32" s="1"/>
  <c r="E240" i="32" s="1"/>
  <c r="D241" i="32" s="1"/>
  <c r="C241" i="32" s="1"/>
  <c r="E241" i="32" s="1"/>
  <c r="C187" i="41"/>
  <c r="E187" i="41" s="1"/>
  <c r="D242" i="32" l="1"/>
  <c r="C242" i="32" s="1"/>
  <c r="E242" i="32" s="1"/>
  <c r="D243" i="32" s="1"/>
  <c r="C243" i="32" s="1"/>
  <c r="E243" i="32" s="1"/>
  <c r="D244" i="32" s="1"/>
  <c r="C244" i="32" s="1"/>
  <c r="E244" i="32" s="1"/>
  <c r="D245" i="32" s="1"/>
  <c r="C245" i="32" s="1"/>
  <c r="E245" i="32" s="1"/>
  <c r="D246" i="32" s="1"/>
  <c r="C246" i="32" s="1"/>
  <c r="E246" i="32" s="1"/>
  <c r="D247" i="32" s="1"/>
  <c r="C247" i="32" s="1"/>
  <c r="E247" i="32" s="1"/>
  <c r="D248" i="32" s="1"/>
  <c r="C248" i="32" s="1"/>
  <c r="E248" i="32" s="1"/>
  <c r="D249" i="32" s="1"/>
  <c r="C249" i="32" s="1"/>
  <c r="E249" i="32" s="1"/>
  <c r="D250" i="32" s="1"/>
  <c r="C250" i="32" s="1"/>
  <c r="E250" i="32" s="1"/>
  <c r="D251" i="32" s="1"/>
  <c r="C251" i="32" s="1"/>
  <c r="E251" i="32" s="1"/>
  <c r="D252" i="32" s="1"/>
  <c r="C252" i="32" s="1"/>
  <c r="E252" i="32" s="1"/>
  <c r="D188" i="41"/>
  <c r="D253" i="32" l="1"/>
  <c r="C253" i="32" s="1"/>
  <c r="E253" i="32" s="1"/>
  <c r="C188" i="41"/>
  <c r="E188" i="41" s="1"/>
  <c r="D254" i="32" l="1"/>
  <c r="C254" i="32" s="1"/>
  <c r="E254" i="32" s="1"/>
  <c r="D255" i="32" s="1"/>
  <c r="C255" i="32" s="1"/>
  <c r="E255" i="32" s="1"/>
  <c r="D256" i="32" s="1"/>
  <c r="C256" i="32" s="1"/>
  <c r="E256" i="32" s="1"/>
  <c r="D257" i="32" s="1"/>
  <c r="C257" i="32" s="1"/>
  <c r="E257" i="32" s="1"/>
  <c r="D189" i="41"/>
  <c r="D258" i="32" l="1"/>
  <c r="C258" i="32" s="1"/>
  <c r="E258" i="32" s="1"/>
  <c r="D259" i="32" s="1"/>
  <c r="C259" i="32" s="1"/>
  <c r="E259" i="32" s="1"/>
  <c r="D260" i="32" s="1"/>
  <c r="C260" i="32" s="1"/>
  <c r="E260" i="32" s="1"/>
  <c r="D261" i="32" s="1"/>
  <c r="C261" i="32" s="1"/>
  <c r="E261" i="32" s="1"/>
  <c r="D262" i="32" s="1"/>
  <c r="C262" i="32" s="1"/>
  <c r="E262" i="32" s="1"/>
  <c r="D263" i="32" s="1"/>
  <c r="C263" i="32" s="1"/>
  <c r="E263" i="32" s="1"/>
  <c r="D264" i="32" s="1"/>
  <c r="C264" i="32" s="1"/>
  <c r="E264" i="32" s="1"/>
  <c r="D265" i="32" s="1"/>
  <c r="C265" i="32" s="1"/>
  <c r="E265" i="32" s="1"/>
  <c r="D266" i="32" s="1"/>
  <c r="C266" i="32" s="1"/>
  <c r="E266" i="32" s="1"/>
  <c r="D267" i="32" s="1"/>
  <c r="C267" i="32" s="1"/>
  <c r="E267" i="32" s="1"/>
  <c r="C189" i="41"/>
  <c r="E189" i="41" s="1"/>
  <c r="D268" i="32" l="1"/>
  <c r="C268" i="32" s="1"/>
  <c r="E268" i="32" s="1"/>
  <c r="D269" i="32" s="1"/>
  <c r="C269" i="32" s="1"/>
  <c r="E269" i="32" s="1"/>
  <c r="D270" i="32" s="1"/>
  <c r="C270" i="32" s="1"/>
  <c r="E270" i="32" s="1"/>
  <c r="D271" i="32" s="1"/>
  <c r="C271" i="32" s="1"/>
  <c r="E271" i="32" s="1"/>
  <c r="D272" i="32" s="1"/>
  <c r="C272" i="32" s="1"/>
  <c r="E272" i="32" s="1"/>
  <c r="D273" i="32" s="1"/>
  <c r="C273" i="32" s="1"/>
  <c r="E273" i="32" s="1"/>
  <c r="D190" i="41"/>
  <c r="D274" i="32" l="1"/>
  <c r="C274" i="32" s="1"/>
  <c r="E274" i="32" s="1"/>
  <c r="D275" i="32" s="1"/>
  <c r="C275" i="32" s="1"/>
  <c r="E275" i="32" s="1"/>
  <c r="D276" i="32" s="1"/>
  <c r="C276" i="32" s="1"/>
  <c r="E276" i="32" s="1"/>
  <c r="D277" i="32" s="1"/>
  <c r="C277" i="32" s="1"/>
  <c r="E277" i="32" s="1"/>
  <c r="C190" i="41"/>
  <c r="D278" i="32" l="1"/>
  <c r="C278" i="32" s="1"/>
  <c r="E278" i="32" s="1"/>
  <c r="D279" i="32" s="1"/>
  <c r="C279" i="32" s="1"/>
  <c r="E279" i="32" s="1"/>
  <c r="D280" i="32" s="1"/>
  <c r="C280" i="32" s="1"/>
  <c r="E280" i="32" s="1"/>
  <c r="D281" i="32" s="1"/>
  <c r="C281" i="32" s="1"/>
  <c r="E281" i="32" s="1"/>
  <c r="E190" i="41"/>
  <c r="D282" i="32" l="1"/>
  <c r="C282" i="32" s="1"/>
  <c r="E282" i="32" s="1"/>
  <c r="D283" i="32" s="1"/>
  <c r="C283" i="32" s="1"/>
  <c r="E283" i="32" s="1"/>
  <c r="D284" i="32" s="1"/>
  <c r="C284" i="32" s="1"/>
  <c r="E284" i="32" s="1"/>
  <c r="D285" i="32" s="1"/>
  <c r="C285" i="32" s="1"/>
  <c r="E285" i="32" s="1"/>
  <c r="D286" i="32" s="1"/>
  <c r="C286" i="32" s="1"/>
  <c r="E286" i="32" s="1"/>
  <c r="D287" i="32" s="1"/>
  <c r="C287" i="32" s="1"/>
  <c r="E287" i="32" s="1"/>
  <c r="D191" i="41"/>
  <c r="C191" i="41" s="1"/>
  <c r="E191" i="41" s="1"/>
  <c r="D288" i="32" l="1"/>
  <c r="C288" i="32" s="1"/>
  <c r="E288" i="32" s="1"/>
  <c r="D289" i="32" s="1"/>
  <c r="C289" i="32" s="1"/>
  <c r="E289" i="32" s="1"/>
  <c r="D192" i="41"/>
  <c r="C192" i="41" s="1"/>
  <c r="E192" i="41" s="1"/>
  <c r="D290" i="32" l="1"/>
  <c r="C290" i="32" s="1"/>
  <c r="E290" i="32" s="1"/>
  <c r="D291" i="32" s="1"/>
  <c r="C291" i="32" s="1"/>
  <c r="E291" i="32" s="1"/>
  <c r="D292" i="32" s="1"/>
  <c r="C292" i="32" s="1"/>
  <c r="E292" i="32" s="1"/>
  <c r="D293" i="32" s="1"/>
  <c r="C293" i="32" s="1"/>
  <c r="E293" i="32" s="1"/>
  <c r="D294" i="32" s="1"/>
  <c r="C294" i="32" s="1"/>
  <c r="E294" i="32" s="1"/>
  <c r="D295" i="32" s="1"/>
  <c r="C295" i="32" s="1"/>
  <c r="E295" i="32" s="1"/>
  <c r="D296" i="32" s="1"/>
  <c r="C296" i="32" s="1"/>
  <c r="E296" i="32" s="1"/>
  <c r="D297" i="32" s="1"/>
  <c r="C297" i="32" s="1"/>
  <c r="E297" i="32" s="1"/>
  <c r="D298" i="32" s="1"/>
  <c r="C298" i="32" s="1"/>
  <c r="E298" i="32" s="1"/>
  <c r="D299" i="32" s="1"/>
  <c r="C299" i="32" s="1"/>
  <c r="E299" i="32" s="1"/>
  <c r="D300" i="32" s="1"/>
  <c r="C300" i="32" s="1"/>
  <c r="E300" i="32" s="1"/>
  <c r="D301" i="32" s="1"/>
  <c r="C301" i="32" s="1"/>
  <c r="E301" i="32" s="1"/>
  <c r="D302" i="32" s="1"/>
  <c r="C302" i="32" s="1"/>
  <c r="E302" i="32" s="1"/>
  <c r="D303" i="32" s="1"/>
  <c r="C303" i="32" s="1"/>
  <c r="E303" i="32" s="1"/>
  <c r="D304" i="32" s="1"/>
  <c r="C304" i="32" s="1"/>
  <c r="E304" i="32" s="1"/>
  <c r="D305" i="32" s="1"/>
  <c r="C305" i="32" s="1"/>
  <c r="E305" i="32" s="1"/>
  <c r="D306" i="32" s="1"/>
  <c r="C306" i="32" s="1"/>
  <c r="E306" i="32" s="1"/>
  <c r="D307" i="32" s="1"/>
  <c r="C307" i="32" s="1"/>
  <c r="E307" i="32" s="1"/>
  <c r="D308" i="32" s="1"/>
  <c r="C308" i="32" s="1"/>
  <c r="E308" i="32" s="1"/>
  <c r="D309" i="32" s="1"/>
  <c r="C309" i="32" s="1"/>
  <c r="E309" i="32" s="1"/>
  <c r="D310" i="32" s="1"/>
  <c r="C310" i="32" s="1"/>
  <c r="E310" i="32" s="1"/>
  <c r="D311" i="32" s="1"/>
  <c r="C311" i="32" s="1"/>
  <c r="E311" i="32" s="1"/>
  <c r="D312" i="32" s="1"/>
  <c r="C312" i="32" s="1"/>
  <c r="E312" i="32" s="1"/>
  <c r="D313" i="32" s="1"/>
  <c r="C313" i="32" s="1"/>
  <c r="E313" i="32" s="1"/>
  <c r="D193" i="41"/>
  <c r="C193" i="41" s="1"/>
  <c r="E193" i="41" s="1"/>
  <c r="D314" i="32" l="1"/>
  <c r="C314" i="32" s="1"/>
  <c r="E314" i="32" s="1"/>
  <c r="D315" i="32" s="1"/>
  <c r="C315" i="32" s="1"/>
  <c r="E315" i="32" s="1"/>
  <c r="D316" i="32" s="1"/>
  <c r="C316" i="32" s="1"/>
  <c r="E316" i="32" s="1"/>
  <c r="D317" i="32" s="1"/>
  <c r="C317" i="32" s="1"/>
  <c r="E317" i="32" s="1"/>
  <c r="D194" i="41"/>
  <c r="C194" i="41" l="1"/>
  <c r="E194" i="41" s="1"/>
  <c r="D195" i="41" l="1"/>
  <c r="C195" i="41" l="1"/>
  <c r="E195" i="41" s="1"/>
  <c r="D196" i="41" l="1"/>
  <c r="C196" i="41" l="1"/>
  <c r="E196" i="41" s="1"/>
  <c r="D197" i="41" l="1"/>
  <c r="C197" i="41" l="1"/>
  <c r="E197" i="41" s="1"/>
  <c r="D198" i="41" l="1"/>
  <c r="C198" i="41" l="1"/>
  <c r="E198" i="41" s="1"/>
  <c r="D199" i="41" l="1"/>
  <c r="C199" i="41" l="1"/>
  <c r="E199" i="41" s="1"/>
  <c r="D200" i="41" l="1"/>
  <c r="C200" i="41" l="1"/>
  <c r="E200" i="41" s="1"/>
  <c r="D201" i="41" l="1"/>
  <c r="C201" i="41" l="1"/>
  <c r="E201" i="41" s="1"/>
  <c r="D202" i="41" l="1"/>
  <c r="C202" i="41" l="1"/>
  <c r="E202" i="41" s="1"/>
  <c r="D203" i="41" l="1"/>
  <c r="C203" i="41" l="1"/>
  <c r="E203" i="41" s="1"/>
  <c r="D204" i="41" l="1"/>
  <c r="C204" i="41" l="1"/>
  <c r="E204" i="41" s="1"/>
  <c r="D205" i="41" l="1"/>
  <c r="C205" i="41" l="1"/>
  <c r="E205" i="41" s="1"/>
  <c r="D206" i="41" l="1"/>
  <c r="C206" i="41" l="1"/>
  <c r="E206" i="41" s="1"/>
  <c r="D207" i="41" l="1"/>
  <c r="C207" i="41" l="1"/>
  <c r="E207" i="41" s="1"/>
  <c r="D208" i="41" l="1"/>
  <c r="C208" i="41" l="1"/>
  <c r="E208" i="41" s="1"/>
  <c r="D209" i="41" l="1"/>
  <c r="C209" i="41" l="1"/>
  <c r="E209" i="41" s="1"/>
  <c r="D210" i="41" l="1"/>
  <c r="C210" i="41" l="1"/>
  <c r="E210" i="41" s="1"/>
  <c r="D211" i="41" l="1"/>
  <c r="C211" i="41" l="1"/>
  <c r="E211" i="41" s="1"/>
  <c r="D212" i="41" l="1"/>
  <c r="C212" i="41" l="1"/>
  <c r="E212" i="41" s="1"/>
  <c r="D213" i="41" l="1"/>
  <c r="C213" i="41" l="1"/>
  <c r="E213" i="41" s="1"/>
  <c r="D214" i="41" l="1"/>
  <c r="C214" i="41" l="1"/>
  <c r="E214" i="41" s="1"/>
  <c r="D215" i="41" l="1"/>
  <c r="C215" i="41" l="1"/>
  <c r="E215" i="41" s="1"/>
  <c r="D216" i="41" l="1"/>
  <c r="C216" i="41" l="1"/>
  <c r="E216" i="41" s="1"/>
  <c r="D217" i="41" l="1"/>
  <c r="C217" i="41" l="1"/>
  <c r="E217" i="41" s="1"/>
  <c r="D218" i="41" l="1"/>
  <c r="C218" i="41" l="1"/>
  <c r="E218" i="41" s="1"/>
  <c r="D219" i="41" l="1"/>
  <c r="C219" i="41" l="1"/>
  <c r="E219" i="41" s="1"/>
  <c r="D220" i="41" l="1"/>
  <c r="C220" i="41" l="1"/>
  <c r="E220" i="41" s="1"/>
  <c r="D221" i="41" l="1"/>
  <c r="C221" i="41" l="1"/>
  <c r="E221" i="41" s="1"/>
  <c r="D222" i="41" l="1"/>
  <c r="C222" i="41" l="1"/>
  <c r="E222" i="41" s="1"/>
  <c r="D223" i="41" l="1"/>
  <c r="C223" i="41" l="1"/>
  <c r="E223" i="41" s="1"/>
  <c r="D224" i="41" l="1"/>
  <c r="C224" i="41" l="1"/>
  <c r="E224" i="41" s="1"/>
  <c r="D225" i="41" l="1"/>
  <c r="C225" i="41" l="1"/>
  <c r="E225" i="41" s="1"/>
  <c r="D226" i="41" l="1"/>
  <c r="C226" i="41" l="1"/>
  <c r="E226" i="41" s="1"/>
  <c r="D227" i="41" l="1"/>
  <c r="C227" i="41" l="1"/>
  <c r="E227" i="41" s="1"/>
  <c r="D228" i="41" l="1"/>
  <c r="C228" i="41" l="1"/>
  <c r="E228" i="41" s="1"/>
  <c r="D229" i="41" l="1"/>
  <c r="C229" i="41" l="1"/>
  <c r="E229" i="41" s="1"/>
  <c r="D230" i="41" l="1"/>
  <c r="C230" i="41" l="1"/>
  <c r="E230" i="41" s="1"/>
  <c r="D231" i="41" l="1"/>
  <c r="C231" i="41" l="1"/>
  <c r="E231" i="41" s="1"/>
  <c r="D232" i="41" l="1"/>
  <c r="C232" i="41" l="1"/>
  <c r="E232" i="41" s="1"/>
  <c r="D233" i="41" l="1"/>
  <c r="C233" i="41" l="1"/>
  <c r="E233" i="41" s="1"/>
  <c r="D234" i="41" l="1"/>
  <c r="C234" i="41" l="1"/>
  <c r="E234" i="41" s="1"/>
  <c r="D235" i="41" l="1"/>
  <c r="C235" i="41" l="1"/>
  <c r="E235" i="41" s="1"/>
  <c r="D236" i="41" l="1"/>
  <c r="C236" i="41" l="1"/>
  <c r="E236" i="41" s="1"/>
  <c r="D237" i="41" l="1"/>
  <c r="C237" i="41" l="1"/>
  <c r="E237" i="41" s="1"/>
  <c r="D238" i="41" l="1"/>
  <c r="C238" i="41" l="1"/>
  <c r="E238" i="41" s="1"/>
  <c r="D239" i="41" l="1"/>
  <c r="C239" i="41" l="1"/>
  <c r="E239" i="41" s="1"/>
  <c r="D240" i="41" l="1"/>
  <c r="C240" i="41" l="1"/>
  <c r="E240" i="41" s="1"/>
  <c r="D241" i="41" l="1"/>
  <c r="C241" i="41" l="1"/>
  <c r="E241" i="41" s="1"/>
  <c r="D242" i="41" l="1"/>
  <c r="C242" i="41" l="1"/>
  <c r="E242" i="41" s="1"/>
  <c r="D243" i="41" l="1"/>
  <c r="C243" i="41" l="1"/>
  <c r="E243" i="41" s="1"/>
  <c r="D244" i="41" l="1"/>
  <c r="C244" i="41" l="1"/>
  <c r="E244" i="41" s="1"/>
  <c r="D245" i="41" l="1"/>
  <c r="C245" i="41" l="1"/>
  <c r="E245" i="41" s="1"/>
  <c r="D246" i="41" l="1"/>
  <c r="C246" i="41" l="1"/>
  <c r="E246" i="41" s="1"/>
  <c r="D247" i="41" l="1"/>
  <c r="C247" i="41" l="1"/>
  <c r="E247" i="41" s="1"/>
  <c r="D248" i="41" l="1"/>
  <c r="C248" i="41" l="1"/>
  <c r="E248" i="41" s="1"/>
  <c r="D249" i="41" l="1"/>
  <c r="C249" i="41" l="1"/>
  <c r="E249" i="41" s="1"/>
  <c r="D250" i="41" l="1"/>
  <c r="C250" i="41" l="1"/>
  <c r="E250" i="41" s="1"/>
  <c r="D251" i="41" l="1"/>
  <c r="C251" i="41" l="1"/>
  <c r="E251" i="41" s="1"/>
  <c r="D252" i="41" l="1"/>
  <c r="C252" i="41" l="1"/>
  <c r="E252" i="41" s="1"/>
  <c r="D253" i="41" l="1"/>
  <c r="C253" i="41" l="1"/>
  <c r="E253" i="41" s="1"/>
  <c r="D254" i="41" l="1"/>
  <c r="C254" i="41" l="1"/>
  <c r="E254" i="41" l="1"/>
  <c r="D255" i="41" l="1"/>
  <c r="C255" i="41" s="1"/>
  <c r="E255" i="41" s="1"/>
  <c r="D256" i="41" l="1"/>
  <c r="C256" i="41" s="1"/>
  <c r="E256" i="41" s="1"/>
  <c r="D257" i="41" l="1"/>
  <c r="C257" i="41" s="1"/>
  <c r="E257" i="41" s="1"/>
  <c r="D258" i="41" l="1"/>
  <c r="C258" i="41" l="1"/>
  <c r="E258" i="41" s="1"/>
  <c r="D259" i="41" l="1"/>
  <c r="C259" i="41" l="1"/>
  <c r="E259" i="41" s="1"/>
  <c r="D260" i="41" l="1"/>
  <c r="C260" i="41" l="1"/>
  <c r="E260" i="41" s="1"/>
  <c r="D261" i="41" l="1"/>
  <c r="C261" i="41" l="1"/>
  <c r="E261" i="41" s="1"/>
  <c r="D262" i="41" l="1"/>
  <c r="C262" i="41" l="1"/>
  <c r="E262" i="41" s="1"/>
  <c r="D263" i="41" l="1"/>
  <c r="C263" i="41" l="1"/>
  <c r="E263" i="41" s="1"/>
  <c r="D264" i="41" l="1"/>
  <c r="C264" i="41" l="1"/>
  <c r="E264" i="41" s="1"/>
  <c r="D265" i="41" l="1"/>
  <c r="C265" i="41" l="1"/>
  <c r="E265" i="41" s="1"/>
  <c r="D266" i="41" l="1"/>
  <c r="C266" i="41" l="1"/>
  <c r="E266" i="41" s="1"/>
  <c r="D267" i="41" l="1"/>
  <c r="C267" i="41" l="1"/>
  <c r="E267" i="41" s="1"/>
  <c r="D268" i="41" l="1"/>
  <c r="C268" i="41" l="1"/>
  <c r="E268" i="41" s="1"/>
  <c r="D269" i="41" l="1"/>
  <c r="C269" i="41" l="1"/>
  <c r="E269" i="41" s="1"/>
  <c r="D270" i="41" l="1"/>
  <c r="C270" i="41" l="1"/>
  <c r="E270" i="41" s="1"/>
  <c r="D271" i="41" l="1"/>
  <c r="C271" i="41" l="1"/>
  <c r="E271" i="41" s="1"/>
  <c r="D272" i="41" l="1"/>
  <c r="C272" i="41" l="1"/>
  <c r="E272" i="41" s="1"/>
  <c r="D273" i="41" l="1"/>
  <c r="C273" i="41" l="1"/>
  <c r="E273" i="41" s="1"/>
  <c r="D274" i="41" l="1"/>
  <c r="C274" i="41" l="1"/>
  <c r="E274" i="41" s="1"/>
  <c r="D275" i="41" l="1"/>
  <c r="C275" i="41" l="1"/>
  <c r="E275" i="41" s="1"/>
  <c r="D276" i="41" l="1"/>
  <c r="C276" i="41" l="1"/>
  <c r="E276" i="41" s="1"/>
  <c r="D277" i="41" l="1"/>
  <c r="C277" i="41" l="1"/>
  <c r="E277" i="41" s="1"/>
  <c r="D278" i="41" l="1"/>
  <c r="C278" i="41" l="1"/>
  <c r="E278" i="41" s="1"/>
  <c r="D279" i="41" l="1"/>
  <c r="C279" i="41" l="1"/>
  <c r="E279" i="41" s="1"/>
  <c r="D280" i="41" l="1"/>
  <c r="C280" i="41" l="1"/>
  <c r="E280" i="41" s="1"/>
  <c r="D281" i="41" l="1"/>
  <c r="C281" i="41" l="1"/>
  <c r="E281" i="41" s="1"/>
  <c r="D282" i="41" l="1"/>
  <c r="C282" i="41" l="1"/>
  <c r="E282" i="41" s="1"/>
  <c r="D283" i="41" l="1"/>
  <c r="C283" i="41" l="1"/>
  <c r="E283" i="41" s="1"/>
  <c r="D284" i="41" l="1"/>
  <c r="C284" i="41" l="1"/>
  <c r="E284" i="41" s="1"/>
  <c r="D285" i="41" l="1"/>
  <c r="C285" i="41" l="1"/>
  <c r="E285" i="41" s="1"/>
  <c r="D286" i="41" l="1"/>
  <c r="C286" i="41" l="1"/>
  <c r="E286" i="41" s="1"/>
  <c r="D287" i="41" l="1"/>
  <c r="C287" i="41" l="1"/>
  <c r="E287" i="41" s="1"/>
  <c r="D288" i="41" l="1"/>
  <c r="C288" i="41" l="1"/>
  <c r="E288" i="41" s="1"/>
  <c r="D289" i="41" l="1"/>
  <c r="C289" i="41" l="1"/>
  <c r="E289" i="41" s="1"/>
  <c r="D290" i="41" l="1"/>
  <c r="C290" i="41" l="1"/>
  <c r="E290" i="41" s="1"/>
  <c r="D291" i="41" l="1"/>
  <c r="C291" i="41" l="1"/>
  <c r="E291" i="41" s="1"/>
  <c r="D292" i="41" l="1"/>
  <c r="C292" i="41" l="1"/>
  <c r="E292" i="41" s="1"/>
  <c r="D293" i="41" l="1"/>
  <c r="C293" i="41" l="1"/>
  <c r="E293" i="41" s="1"/>
  <c r="D294" i="41" l="1"/>
  <c r="C294" i="41" l="1"/>
  <c r="E294" i="41" s="1"/>
  <c r="D295" i="41" l="1"/>
  <c r="C295" i="41" l="1"/>
  <c r="E295" i="41" s="1"/>
  <c r="D296" i="41" l="1"/>
  <c r="C296" i="41" l="1"/>
  <c r="E296" i="41" s="1"/>
  <c r="D297" i="41" l="1"/>
  <c r="C297" i="41" l="1"/>
  <c r="E297" i="41" s="1"/>
  <c r="D298" i="41" l="1"/>
  <c r="C298" i="41" l="1"/>
  <c r="E298" i="41" s="1"/>
  <c r="D299" i="41" l="1"/>
  <c r="C299" i="41" l="1"/>
  <c r="E299" i="41" s="1"/>
  <c r="D300" i="41" l="1"/>
  <c r="C300" i="41" l="1"/>
  <c r="E300" i="41" s="1"/>
  <c r="D301" i="41" l="1"/>
  <c r="C301" i="41" l="1"/>
  <c r="E301" i="41" s="1"/>
  <c r="D302" i="41" l="1"/>
  <c r="C302" i="41" l="1"/>
  <c r="E302" i="41" s="1"/>
  <c r="D303" i="41" l="1"/>
  <c r="C303" i="41" l="1"/>
  <c r="E303" i="41" s="1"/>
  <c r="D304" i="41" l="1"/>
  <c r="C304" i="41" l="1"/>
  <c r="E304" i="41" s="1"/>
  <c r="D305" i="41" l="1"/>
  <c r="C305" i="41" l="1"/>
  <c r="E305" i="41" s="1"/>
  <c r="D306" i="41" l="1"/>
  <c r="C306" i="41" l="1"/>
  <c r="E306" i="41" s="1"/>
  <c r="D307" i="41" l="1"/>
  <c r="C307" i="41" l="1"/>
  <c r="E307" i="41" s="1"/>
  <c r="D308" i="41" l="1"/>
  <c r="C308" i="41" l="1"/>
  <c r="E308" i="41" s="1"/>
  <c r="D309" i="41" l="1"/>
  <c r="C309" i="41" l="1"/>
  <c r="E309" i="41" s="1"/>
  <c r="D310" i="41" l="1"/>
  <c r="C310" i="41" l="1"/>
  <c r="E310" i="41" s="1"/>
  <c r="D311" i="41" l="1"/>
  <c r="C311" i="41" l="1"/>
  <c r="E311" i="41" s="1"/>
  <c r="D312" i="41" l="1"/>
  <c r="C312" i="41" l="1"/>
  <c r="E312" i="41" s="1"/>
  <c r="D313" i="41" l="1"/>
  <c r="C313" i="41" l="1"/>
  <c r="E313" i="41" s="1"/>
  <c r="D314" i="41" l="1"/>
  <c r="C314" i="41" l="1"/>
  <c r="E314" i="41" s="1"/>
  <c r="D315" i="41" l="1"/>
  <c r="C315" i="41" l="1"/>
  <c r="E315" i="41" s="1"/>
  <c r="D316" i="41" l="1"/>
  <c r="C316" i="41" l="1"/>
  <c r="E316" i="41" s="1"/>
  <c r="D317" i="41" l="1"/>
  <c r="C317" i="41" l="1"/>
  <c r="E317" i="41" s="1"/>
  <c r="Q24" i="33" l="1"/>
  <c r="G21" i="74" l="1"/>
  <c r="F28" i="74" s="1"/>
  <c r="C21" i="74"/>
  <c r="C32" i="33"/>
  <c r="E28" i="74" l="1"/>
  <c r="D28" i="74"/>
  <c r="C28"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tc={B63CE5B1-1A56-4BBC-BA3C-A34D4FD395D2}</author>
  </authors>
  <commentList>
    <comment ref="C5" authorId="0" shapeId="0" xr:uid="{B63CE5B1-1A56-4BBC-BA3C-A34D4FD395D2}">
      <text>
        <t>[Opmerkingenthread]
U kunt deze opmerkingenthread lezen in uw versie van Excel. Eventuele wijzigingen aan de thread gaan echter verloren als het bestand wordt geopend in een nieuwere versie van Excel. Meer informatie: https://go.microsoft.com/fwlink/?linkid=870924
Opmerking:
    Als je maar één prijs krijgt, moet je deze invullen bij isolatie, maar er gebeurd een overschatting.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<sst xmlns="http://schemas.openxmlformats.org/spreadsheetml/2006/main" count="315" uniqueCount="214">
  <si>
    <t>Deze handleiding begeleidt je stap voor stap door elk tabblad van deze financieringsmatrix. Elk tabblad heeft een specifieke functie en in deze handleiding wordt duidelijk uitgelegd wat het doel is van elk tabblad, welke stappen je moet volgen en waar je extra op moet letten om fouten te voorkomen.</t>
  </si>
  <si>
    <r>
      <t xml:space="preserve">Om het gebruik van het bestand zo overzichtelijk mogelijk te maken, zijn de tabbladen ingedeeld en kleurgecodeerd:
</t>
    </r>
    <r>
      <rPr>
        <b/>
        <u/>
        <sz val="11"/>
        <color theme="4" tint="-0.249977111117893"/>
        <rFont val="Calibri"/>
        <family val="2"/>
        <scheme val="minor"/>
      </rPr>
      <t>Blauwe tabbladen:</t>
    </r>
    <r>
      <rPr>
        <sz val="11"/>
        <color theme="1"/>
        <rFont val="Calibri"/>
        <family val="2"/>
        <scheme val="minor"/>
      </rPr>
      <t xml:space="preserve"> Hier geef je alle benodigde input in. Dit zijn de invoerschermen waarin je de gegevens zorgvuldig moet invullen om een goede basis te leggen voor de verdere berekeningen. Je hoeft enkel de tekstvelden in</t>
    </r>
    <r>
      <rPr>
        <sz val="11"/>
        <color rgb="FFFF0000"/>
        <rFont val="Calibri"/>
        <family val="2"/>
        <scheme val="minor"/>
      </rPr>
      <t xml:space="preserve"> rode kleur</t>
    </r>
    <r>
      <rPr>
        <sz val="11"/>
        <color theme="1"/>
        <rFont val="Calibri"/>
        <family val="2"/>
        <scheme val="minor"/>
      </rPr>
      <t xml:space="preserve"> in te vullen, de overige cellen worden automatisch ingevuld.
</t>
    </r>
    <r>
      <rPr>
        <b/>
        <u/>
        <sz val="11"/>
        <color theme="6"/>
        <rFont val="Calibri"/>
        <family val="2"/>
        <scheme val="minor"/>
      </rPr>
      <t>Groene tabbladen:</t>
    </r>
    <r>
      <rPr>
        <sz val="11"/>
        <color theme="1"/>
        <rFont val="Calibri"/>
        <family val="2"/>
        <scheme val="minor"/>
      </rPr>
      <t xml:space="preserve"> Deze bevatten de financierigsmatrix van het persoonlijk aandeel in de renovatiekost van de gemeenschappelijke delen per kavel de bijbehorende achterliggende berekeningen. 
</t>
    </r>
  </si>
  <si>
    <t>QUOTITEITEN</t>
  </si>
  <si>
    <t>BEREKENING</t>
  </si>
  <si>
    <r>
      <rPr>
        <b/>
        <sz val="11"/>
        <color theme="1"/>
        <rFont val="Calibri"/>
        <family val="2"/>
        <scheme val="minor"/>
      </rPr>
      <t>Doel</t>
    </r>
    <r>
      <rPr>
        <sz val="11"/>
        <color theme="1"/>
        <rFont val="Calibri"/>
        <family val="2"/>
        <scheme val="minor"/>
      </rPr>
      <t xml:space="preserve">
Dit tabblad geeft een overzicht van de financiële impact per kavel en kan gekopieerd worden in een presentatie om de situatie toe te lichten aan de eigenaars. De berekeningen gebeuren automatisch, op basis van de gemiddelde quotiteit uit het </t>
    </r>
    <r>
      <rPr>
        <i/>
        <sz val="11"/>
        <color theme="3"/>
        <rFont val="Calibri"/>
        <family val="2"/>
        <scheme val="minor"/>
      </rPr>
      <t>tabblad Quotiteiten</t>
    </r>
    <r>
      <rPr>
        <sz val="11"/>
        <color theme="1"/>
        <rFont val="Calibri"/>
        <family val="2"/>
        <scheme val="minor"/>
      </rPr>
      <t>. 
Het tabblad bestaat uit drie delen:
  1. Simulatie van vier financieringsmogelijkheden voor dit kavel. Dit vormt het kernstuk voor een eerste financiële inschatting.
  2. Simulatie van de Mijn VerbouwPremie voor dit kavel.
  3. Netto-investering na premie, berekend als het verschil tussen de totale investering</t>
    </r>
    <r>
      <rPr>
        <sz val="11"/>
        <color theme="3"/>
        <rFont val="Calibri"/>
        <family val="2"/>
        <scheme val="minor"/>
      </rPr>
      <t xml:space="preserve"> </t>
    </r>
    <r>
      <rPr>
        <i/>
        <sz val="11"/>
        <color theme="3"/>
        <rFont val="Calibri"/>
        <family val="2"/>
        <scheme val="minor"/>
      </rPr>
      <t>rij 14</t>
    </r>
    <r>
      <rPr>
        <sz val="11"/>
        <color theme="1"/>
        <rFont val="Calibri"/>
        <family val="2"/>
        <scheme val="minor"/>
      </rPr>
      <t xml:space="preserve"> en de simmulatie van de Mijn VerbouwPremie.
Dit overzicht is ideaal voor een eerste financiële inschatting, maar hou er rekening mee dat het voor sommige eigenaars complex kan zijn. Toon daarom enkel de relevante delen, afhankelijk van het moment en het doel van het gesprek.</t>
    </r>
    <r>
      <rPr>
        <sz val="11"/>
        <color theme="1"/>
        <rFont val="Calibri"/>
        <family val="2"/>
        <scheme val="minor"/>
      </rPr>
      <t xml:space="preserve">
</t>
    </r>
  </si>
  <si>
    <r>
      <t xml:space="preserve">Doel
</t>
    </r>
    <r>
      <rPr>
        <sz val="11"/>
        <color theme="1"/>
        <rFont val="Calibri"/>
        <family val="2"/>
        <scheme val="minor"/>
      </rPr>
      <t>In dit tabblad vinden de achterliggende berekeningen plaats voor de Mijn VerbouwLening VME (financieringsopties 2 en 3). Je hoeft hier niets aan te passen, tenzij je de looptijd of de rentevoet van de lening wilt wijzigen.</t>
    </r>
    <r>
      <rPr>
        <b/>
        <sz val="11"/>
        <color theme="1"/>
        <rFont val="Calibri"/>
        <family val="2"/>
        <scheme val="minor"/>
      </rPr>
      <t xml:space="preserve">
</t>
    </r>
  </si>
  <si>
    <r>
      <rPr>
        <b/>
        <sz val="11"/>
        <color theme="1"/>
        <rFont val="Calibri"/>
        <family val="2"/>
        <scheme val="minor"/>
      </rPr>
      <t>Doel</t>
    </r>
    <r>
      <rPr>
        <sz val="11"/>
        <color theme="1"/>
        <rFont val="Calibri"/>
        <family val="2"/>
        <scheme val="minor"/>
      </rPr>
      <t xml:space="preserve">
In dit tabblad vinden de achterliggende berekeningen plaats voor de VME-krediet bij een financiële instelling (financieringsoptie 3). Je hoeft hier niets aan te passen, tenzij je de looptijd of de rentevoet van de lening wilt wijzigen.
</t>
    </r>
  </si>
  <si>
    <r>
      <rPr>
        <b/>
        <sz val="11"/>
        <color theme="1"/>
        <rFont val="Calibri"/>
        <family val="2"/>
        <scheme val="minor"/>
      </rPr>
      <t>Doel</t>
    </r>
    <r>
      <rPr>
        <sz val="11"/>
        <color theme="1"/>
        <rFont val="Calibri"/>
        <family val="2"/>
        <scheme val="minor"/>
      </rPr>
      <t xml:space="preserve">
In dit tabblad vinden de achterliggende berekeningen plaats voor de VME-krediet bij een financiële instelling (financieringsoptie 4). Je hoeft hier niets aan te passen, tenzij je de looptijd of de rentevoet van de lening wilt wijzigen.
</t>
    </r>
  </si>
  <si>
    <r>
      <rPr>
        <i/>
        <u/>
        <sz val="11"/>
        <color theme="1"/>
        <rFont val="Calibri"/>
        <family val="2"/>
        <scheme val="minor"/>
      </rPr>
      <t>DISCLAIMER</t>
    </r>
    <r>
      <rPr>
        <i/>
        <sz val="11"/>
        <color theme="1"/>
        <rFont val="Calibri"/>
        <family val="2"/>
        <scheme val="minor"/>
      </rPr>
      <t>: Deze financieringstool werd ontwikkeld door Stad Antwerpen en nadien verfijnd binnen het CondoReno-project (LIFE21-CET-HOMERENO-CondoReno). Dit is een éénmalige publicatie en wordt niet automatisch bijgewerkt bij wijzigingen in premies, subsidies of financiële producten. De tool is bedoeld als informatief hulpmiddel en mag niet worden beschouwd als financieel advies. Stad Antwerpen en de andere CondoReno partners aanvaarden geen aansprakelijkheid voor foutieve interpretatie, onvolledige input of verkeerde toepassing van de resultaten. Elke gebruiker is volledig verantwoordelijk voor het controleren en interpreteren van de output, vóór deze met derden wordt gedeeld of extern gebruikt.</t>
    </r>
  </si>
  <si>
    <t>Aantal kavels</t>
  </si>
  <si>
    <t>Quotiteiten</t>
  </si>
  <si>
    <t>Meest voorkomende quotiteit</t>
  </si>
  <si>
    <t>Wooneenheid</t>
  </si>
  <si>
    <t>Geen wooneenheid</t>
  </si>
  <si>
    <t>Totaal</t>
  </si>
  <si>
    <t>Kavel</t>
  </si>
  <si>
    <t>omschrijving kavel</t>
  </si>
  <si>
    <t>quotiteit</t>
  </si>
  <si>
    <t>Aantal</t>
  </si>
  <si>
    <t>Controle (quotiteit x aantal)</t>
  </si>
  <si>
    <t>Garage type 1</t>
  </si>
  <si>
    <t>Appartement type 1</t>
  </si>
  <si>
    <t>Appartement type 2</t>
  </si>
  <si>
    <t>Appartement type 3</t>
  </si>
  <si>
    <t>Raming van de gemeenschappelijke kosten - samenvatting</t>
  </si>
  <si>
    <t>Scenario</t>
  </si>
  <si>
    <t xml:space="preserve">Totaalkost </t>
  </si>
  <si>
    <t>Dak</t>
  </si>
  <si>
    <t>Buitenmuur</t>
  </si>
  <si>
    <t>Vloer</t>
  </si>
  <si>
    <t>Ramen en deuren</t>
  </si>
  <si>
    <t>Isolatie</t>
  </si>
  <si>
    <t>Asbest</t>
  </si>
  <si>
    <t>Renovatie</t>
  </si>
  <si>
    <t>Beglazing</t>
  </si>
  <si>
    <t>Schrjinwerk</t>
  </si>
  <si>
    <t>Scenario 1</t>
  </si>
  <si>
    <t>Scenario 2</t>
  </si>
  <si>
    <t>Scenario 3</t>
  </si>
  <si>
    <t>Scenario 4</t>
  </si>
  <si>
    <t>Scenario 5</t>
  </si>
  <si>
    <t>Scenario 6</t>
  </si>
  <si>
    <t>Raming van de gemeenschappelijke kosten - details</t>
  </si>
  <si>
    <t>Aard van de werken</t>
  </si>
  <si>
    <t>Beschrijving</t>
  </si>
  <si>
    <t>m2</t>
  </si>
  <si>
    <t>prijs</t>
  </si>
  <si>
    <t>Dakkoepel</t>
  </si>
  <si>
    <t>Ramen en deuren - beglazing</t>
  </si>
  <si>
    <t>x</t>
  </si>
  <si>
    <t xml:space="preserve">Dakvolume </t>
  </si>
  <si>
    <t>isolatie dak: rotswol 18 cm</t>
  </si>
  <si>
    <t>Dak - isolatie</t>
  </si>
  <si>
    <t>nieuw dakdichting</t>
  </si>
  <si>
    <t>Dak - renovatie</t>
  </si>
  <si>
    <t>asbest</t>
  </si>
  <si>
    <t>Dak - asbestverwijdering</t>
  </si>
  <si>
    <t>Schilderwerken gang</t>
  </si>
  <si>
    <t>Deurmat</t>
  </si>
  <si>
    <t>Studiekosten</t>
  </si>
  <si>
    <t>Erelonen</t>
  </si>
  <si>
    <t xml:space="preserve">Voordeur </t>
  </si>
  <si>
    <t>Zonnepanelen</t>
  </si>
  <si>
    <t xml:space="preserve">Zonnepanelen </t>
  </si>
  <si>
    <t>Binnenkant</t>
  </si>
  <si>
    <t>VME</t>
  </si>
  <si>
    <t>BESCHRIJVING WERKEN</t>
  </si>
  <si>
    <r>
      <t xml:space="preserve">Prijs
</t>
    </r>
    <r>
      <rPr>
        <sz val="11"/>
        <color theme="1"/>
        <rFont val="Calibri"/>
        <family val="2"/>
        <scheme val="minor"/>
      </rPr>
      <t>excl. BTW</t>
    </r>
  </si>
  <si>
    <t>BTW</t>
  </si>
  <si>
    <r>
      <t>Prijs
incl</t>
    </r>
    <r>
      <rPr>
        <sz val="11"/>
        <color theme="1"/>
        <rFont val="Calibri"/>
        <family val="2"/>
        <scheme val="minor"/>
      </rPr>
      <t>. BTW</t>
    </r>
  </si>
  <si>
    <t>Aantal m²</t>
  </si>
  <si>
    <t>Bonussen</t>
  </si>
  <si>
    <t>BASISPREMIE</t>
  </si>
  <si>
    <t>Proportioneel aandeel basispremie</t>
  </si>
  <si>
    <t>Proportioneel aandeel kosten excl. BTW</t>
  </si>
  <si>
    <t>Aanvullende premie
Cat. 3</t>
  </si>
  <si>
    <t>Aanvullende premie
Cat. 4</t>
  </si>
  <si>
    <r>
      <t xml:space="preserve">Cat 1. Hoogste
</t>
    </r>
    <r>
      <rPr>
        <sz val="11"/>
        <color theme="1" tint="4.9989318521683403E-2"/>
        <rFont val="Calibri"/>
        <family val="2"/>
        <scheme val="minor"/>
      </rPr>
      <t>(basis)</t>
    </r>
  </si>
  <si>
    <t>Cat 2. Middelste
(basis)</t>
  </si>
  <si>
    <t>Cat 3. Laagste
(basis + aanvullend)</t>
  </si>
  <si>
    <r>
      <t xml:space="preserve">Cat 4. Laagste
</t>
    </r>
    <r>
      <rPr>
        <sz val="11"/>
        <color theme="1" tint="4.9989318521683403E-2"/>
        <rFont val="Calibri"/>
        <family val="2"/>
        <scheme val="minor"/>
      </rPr>
      <t>(basis + aanvullend)</t>
    </r>
  </si>
  <si>
    <t>CATEGORIEËN MIJN VERBOUWPREMIE</t>
  </si>
  <si>
    <t>Bonus asbest</t>
  </si>
  <si>
    <t>Buitenkant</t>
  </si>
  <si>
    <t>Buitenmuur - isolatie</t>
  </si>
  <si>
    <t>Buitenmuur - renovatie</t>
  </si>
  <si>
    <t>Vloer - isolatie</t>
  </si>
  <si>
    <t>Vloer - renovatie</t>
  </si>
  <si>
    <t>Ramen en deuren - schrijnwerk</t>
  </si>
  <si>
    <t>Voorb. isolatie</t>
  </si>
  <si>
    <t>Voorb. elektriciteit en sanitair</t>
  </si>
  <si>
    <t>Lucht-water</t>
  </si>
  <si>
    <t>Warmtepomp</t>
  </si>
  <si>
    <t>Geen verhoging premie</t>
  </si>
  <si>
    <t>Warmtepompboiler</t>
  </si>
  <si>
    <t>CATEGORIEËN OVERIGE</t>
  </si>
  <si>
    <t>Privatief</t>
  </si>
  <si>
    <t>Geen premie 21%</t>
  </si>
  <si>
    <t>Geen premie 6%</t>
  </si>
  <si>
    <t>TOTALE KOSTEN EXCL. BTW    /    INCL. BTW</t>
  </si>
  <si>
    <t>Totaalprijs VME</t>
  </si>
  <si>
    <t>inclusief BTW</t>
  </si>
  <si>
    <t xml:space="preserve">Mijn VerbouwLening </t>
  </si>
  <si>
    <t>2e lening /reservefonds</t>
  </si>
  <si>
    <t>Mijn VerbouwPremie VME</t>
  </si>
  <si>
    <t>Mijn VerbouwPremie aanvullend</t>
  </si>
  <si>
    <t>FINANCIERING   (achterliggende berekeningen)</t>
  </si>
  <si>
    <t>Looptijd</t>
  </si>
  <si>
    <t>Frequentie</t>
  </si>
  <si>
    <t>Bedrag</t>
  </si>
  <si>
    <t>Maandelijkse aflossing</t>
  </si>
  <si>
    <t>kost / quotiteit</t>
  </si>
  <si>
    <t>VME Mijn VerbouwLening</t>
  </si>
  <si>
    <r>
      <t xml:space="preserve">KREDIETVERZEKERING MIN
</t>
    </r>
    <r>
      <rPr>
        <sz val="11"/>
        <color theme="0" tint="-0.34998626667073579"/>
        <rFont val="Calibri"/>
        <family val="2"/>
        <scheme val="minor"/>
      </rPr>
      <t>VME Mijn Verbouwlening</t>
    </r>
  </si>
  <si>
    <t>Eenmalig</t>
  </si>
  <si>
    <t>Eigen middelen deel 1</t>
  </si>
  <si>
    <r>
      <t xml:space="preserve">LENING 2
</t>
    </r>
    <r>
      <rPr>
        <sz val="11"/>
        <color theme="1"/>
        <rFont val="Calibri"/>
        <family val="2"/>
        <scheme val="minor"/>
      </rPr>
      <t>VME lening grootbank</t>
    </r>
  </si>
  <si>
    <t>Totaal quotiteiten</t>
  </si>
  <si>
    <t>Q  hoofdgebouw</t>
  </si>
  <si>
    <t>Q garage</t>
  </si>
  <si>
    <r>
      <t xml:space="preserve">RISICOPREMIE 2
</t>
    </r>
    <r>
      <rPr>
        <sz val="11"/>
        <color theme="0" tint="-0.34998626667073579"/>
        <rFont val="Calibri"/>
        <family val="2"/>
        <scheme val="minor"/>
      </rPr>
      <t>VME lening grootbank</t>
    </r>
  </si>
  <si>
    <r>
      <t xml:space="preserve">LENING 3
</t>
    </r>
    <r>
      <rPr>
        <sz val="11"/>
        <color theme="1"/>
        <rFont val="Calibri"/>
        <family val="2"/>
        <scheme val="minor"/>
      </rPr>
      <t xml:space="preserve">VME lening </t>
    </r>
    <r>
      <rPr>
        <u/>
        <sz val="11"/>
        <color theme="1"/>
        <rFont val="Calibri"/>
        <family val="2"/>
        <scheme val="minor"/>
      </rPr>
      <t>alles</t>
    </r>
    <r>
      <rPr>
        <sz val="11"/>
        <color theme="1"/>
        <rFont val="Calibri"/>
        <family val="2"/>
        <scheme val="minor"/>
      </rPr>
      <t xml:space="preserve"> grootbank</t>
    </r>
  </si>
  <si>
    <t>Kost per quotiteit</t>
  </si>
  <si>
    <r>
      <t xml:space="preserve">RISICOPREMIE 2
</t>
    </r>
    <r>
      <rPr>
        <sz val="11"/>
        <color theme="0" tint="-0.34998626667073579"/>
        <rFont val="Calibri"/>
        <family val="2"/>
        <scheme val="minor"/>
      </rPr>
      <t xml:space="preserve">VME lening </t>
    </r>
    <r>
      <rPr>
        <u/>
        <sz val="11"/>
        <color theme="0" tint="-0.34998626667073579"/>
        <rFont val="Calibri"/>
        <family val="2"/>
        <scheme val="minor"/>
      </rPr>
      <t>alles</t>
    </r>
    <r>
      <rPr>
        <sz val="11"/>
        <color theme="0" tint="-0.34998626667073579"/>
        <rFont val="Calibri"/>
        <family val="2"/>
        <scheme val="minor"/>
      </rPr>
      <t xml:space="preserve"> grootbank</t>
    </r>
  </si>
  <si>
    <t>Basispremie per quotiteit</t>
  </si>
  <si>
    <t>VME LENING BEREKENING MAX</t>
  </si>
  <si>
    <t>Max leenbedrag adhv wooneenheden</t>
  </si>
  <si>
    <t>Max leenbedrag binnenrenovatie</t>
  </si>
  <si>
    <t>Max leenbedrag elektriciteit en sanitair</t>
  </si>
  <si>
    <t>VME LENING BEREKENING SCENARIO</t>
  </si>
  <si>
    <t>Finaal maximaal leenbedrag MVL</t>
  </si>
  <si>
    <t xml:space="preserve">--&gt; </t>
  </si>
  <si>
    <t>Lening 1</t>
  </si>
  <si>
    <t>Zelf financieren of lenen bij derde</t>
  </si>
  <si>
    <t>Lening 2</t>
  </si>
  <si>
    <t>QUOTITEIT</t>
  </si>
  <si>
    <t>OPTIE 1</t>
  </si>
  <si>
    <t>OPTIE 2</t>
  </si>
  <si>
    <t>OPTIE 3</t>
  </si>
  <si>
    <t>OPTIE 4</t>
  </si>
  <si>
    <t>Eigen middelen</t>
  </si>
  <si>
    <t>Eigen middelen +
VME Mijn VerbouwLening</t>
  </si>
  <si>
    <t>VME Mijn VerbouwLening +
VME lening financiële instelling</t>
  </si>
  <si>
    <t>VME lening financiële instelling</t>
  </si>
  <si>
    <t>Via eigen middelen</t>
  </si>
  <si>
    <t>Via lening</t>
  </si>
  <si>
    <t>Mijn VerbouwLening</t>
  </si>
  <si>
    <t>Financiële instelling</t>
  </si>
  <si>
    <t>Som maandelijkse aflossingen</t>
  </si>
  <si>
    <r>
      <t>Totale investering</t>
    </r>
    <r>
      <rPr>
        <sz val="11"/>
        <color theme="1"/>
        <rFont val="Calibri"/>
        <family val="2"/>
        <scheme val="minor"/>
      </rPr>
      <t xml:space="preserve"> (excl. kredietverzekering)</t>
    </r>
  </si>
  <si>
    <t>Inschatting kredietverzekering</t>
  </si>
  <si>
    <t>Simulatie Mijn VerbouwPremie</t>
  </si>
  <si>
    <r>
      <rPr>
        <b/>
        <sz val="11"/>
        <color theme="1"/>
        <rFont val="Calibri"/>
        <family val="2"/>
        <scheme val="minor"/>
      </rPr>
      <t xml:space="preserve">Cat. 1 - Hoogste </t>
    </r>
    <r>
      <rPr>
        <sz val="11"/>
        <color theme="1"/>
        <rFont val="Calibri"/>
        <family val="2"/>
        <scheme val="minor"/>
      </rPr>
      <t xml:space="preserve">inkomenscategorie
Basispremie </t>
    </r>
  </si>
  <si>
    <r>
      <rPr>
        <b/>
        <sz val="11"/>
        <color theme="1"/>
        <rFont val="Calibri"/>
        <family val="2"/>
        <scheme val="minor"/>
      </rPr>
      <t>Cat. 2 - Middelste</t>
    </r>
    <r>
      <rPr>
        <sz val="11"/>
        <color theme="1"/>
        <rFont val="Calibri"/>
        <family val="2"/>
        <scheme val="minor"/>
      </rPr>
      <t xml:space="preserve"> inkomenscategorie
Basispremie</t>
    </r>
  </si>
  <si>
    <r>
      <rPr>
        <b/>
        <sz val="11"/>
        <color theme="1"/>
        <rFont val="Calibri"/>
        <family val="2"/>
        <scheme val="minor"/>
      </rPr>
      <t>Cat. 3 - Laagste</t>
    </r>
    <r>
      <rPr>
        <sz val="11"/>
        <color theme="1"/>
        <rFont val="Calibri"/>
        <family val="2"/>
        <scheme val="minor"/>
      </rPr>
      <t xml:space="preserve"> inkomenscategorie
Basispremie + aanvullende premie</t>
    </r>
  </si>
  <si>
    <r>
      <rPr>
        <b/>
        <sz val="11"/>
        <color theme="1"/>
        <rFont val="Calibri"/>
        <family val="2"/>
        <scheme val="minor"/>
      </rPr>
      <t>Cat. 4 - Laagste</t>
    </r>
    <r>
      <rPr>
        <sz val="11"/>
        <color theme="1"/>
        <rFont val="Calibri"/>
        <family val="2"/>
        <scheme val="minor"/>
      </rPr>
      <t xml:space="preserve"> inkomenscategorie
Basispremie + aanvullende premie</t>
    </r>
  </si>
  <si>
    <t>Besparingen (na 20 jaar)</t>
  </si>
  <si>
    <t>Totale investering na ontvangst premies</t>
  </si>
  <si>
    <r>
      <rPr>
        <b/>
        <sz val="11"/>
        <rFont val="Calibri"/>
        <family val="2"/>
        <scheme val="minor"/>
      </rPr>
      <t>Cat. 1 - Hoogste</t>
    </r>
    <r>
      <rPr>
        <sz val="11"/>
        <rFont val="Calibri"/>
        <family val="2"/>
        <scheme val="minor"/>
      </rPr>
      <t xml:space="preserve"> inkomenscategorie</t>
    </r>
  </si>
  <si>
    <r>
      <rPr>
        <b/>
        <sz val="11"/>
        <rFont val="Calibri"/>
        <family val="2"/>
        <scheme val="minor"/>
      </rPr>
      <t>Cat. 2 - Middelste</t>
    </r>
    <r>
      <rPr>
        <sz val="11"/>
        <color theme="1"/>
        <rFont val="Calibri"/>
        <family val="2"/>
        <scheme val="minor"/>
      </rPr>
      <t xml:space="preserve"> inkomenscategorie</t>
    </r>
  </si>
  <si>
    <r>
      <t>Cat. 3 - Laagste</t>
    </r>
    <r>
      <rPr>
        <sz val="11"/>
        <rFont val="Calibri"/>
        <family val="2"/>
        <scheme val="minor"/>
      </rPr>
      <t xml:space="preserve"> inkomenscategorie</t>
    </r>
  </si>
  <si>
    <r>
      <rPr>
        <b/>
        <sz val="11"/>
        <rFont val="Calibri"/>
        <family val="2"/>
        <scheme val="minor"/>
      </rPr>
      <t>Cat. 4 - Laagste</t>
    </r>
    <r>
      <rPr>
        <sz val="11"/>
        <color theme="1"/>
        <rFont val="Calibri"/>
        <family val="2"/>
        <scheme val="minor"/>
      </rPr>
      <t xml:space="preserve"> inkomenscategorie</t>
    </r>
  </si>
  <si>
    <t>VME LENING</t>
  </si>
  <si>
    <t>Atradius verzekering</t>
  </si>
  <si>
    <t>Looptijd in maanden</t>
  </si>
  <si>
    <t>Min 1,5 %   VME</t>
  </si>
  <si>
    <t>Looptijd in jaren</t>
  </si>
  <si>
    <t>Min 1,5 %   quotiteit</t>
  </si>
  <si>
    <t>Rente (maandelijks)</t>
  </si>
  <si>
    <t>Rente (jaarbasis)</t>
  </si>
  <si>
    <t>Max 3,5 %  VME</t>
  </si>
  <si>
    <t>Betaling</t>
  </si>
  <si>
    <t>Max 3,5 %  quotiteit</t>
  </si>
  <si>
    <t>Rentekost</t>
  </si>
  <si>
    <t>Max 2,5 %  VME (gemiddelde)</t>
  </si>
  <si>
    <t>Totale aflossing</t>
  </si>
  <si>
    <t>Kapitaal aflossing</t>
  </si>
  <si>
    <t>administratieve kost per eigenaar</t>
  </si>
  <si>
    <t>Interest component</t>
  </si>
  <si>
    <t>minimale verzekeringspremie</t>
  </si>
  <si>
    <t>Tijdstip</t>
  </si>
  <si>
    <t>Constante Aflossing</t>
  </si>
  <si>
    <t>Kapitaalsaflossing</t>
  </si>
  <si>
    <t>Resterend kapitaal</t>
  </si>
  <si>
    <t>Privatieve bank</t>
  </si>
  <si>
    <t>VME Lening</t>
  </si>
  <si>
    <t>KBC</t>
  </si>
  <si>
    <t>niet limitatief</t>
  </si>
  <si>
    <t>Elantis</t>
  </si>
  <si>
    <t>Maesgroep</t>
  </si>
  <si>
    <t>Belfius</t>
  </si>
  <si>
    <t>Triodos</t>
  </si>
  <si>
    <t>BNP Paribas Fortis</t>
  </si>
  <si>
    <t>Kredietverzekering</t>
  </si>
  <si>
    <t>Atradius</t>
  </si>
  <si>
    <t>Lift</t>
  </si>
  <si>
    <t>MATRIX KAVEL</t>
  </si>
  <si>
    <t>AFLOSSING VME MVL_LENING 1</t>
  </si>
  <si>
    <t>AFLOSSING VME BANK_LENING 2</t>
  </si>
  <si>
    <t>AFLOSSING VME BANK_LENING 3</t>
  </si>
  <si>
    <t xml:space="preserve">RAMING (optioneel) </t>
  </si>
  <si>
    <r>
      <t xml:space="preserve">Doel
</t>
    </r>
    <r>
      <rPr>
        <sz val="11"/>
        <color theme="1"/>
        <rFont val="Calibri"/>
        <family val="2"/>
        <scheme val="minor"/>
      </rPr>
      <t>In dit tabblad kan je een raming van het studiebureau, de architect of aannemer kopiëren. Door alles in dit tabblad in te voeren kan je werken met verschillende scenario's en krijg je meer flexibiliteit om dingen aan te passen. De bedragen en m2 worden automatisch gekoppeld</t>
    </r>
    <r>
      <rPr>
        <sz val="11"/>
        <rFont val="Calibri"/>
        <family val="2"/>
        <scheme val="minor"/>
      </rPr>
      <t xml:space="preserve"> aan het tabblad</t>
    </r>
    <r>
      <rPr>
        <i/>
        <sz val="11"/>
        <color theme="3"/>
        <rFont val="Calibri"/>
        <family val="2"/>
        <scheme val="minor"/>
      </rPr>
      <t xml:space="preserve"> Berekening</t>
    </r>
    <r>
      <rPr>
        <sz val="11"/>
        <color theme="1"/>
        <rFont val="Calibri"/>
        <family val="2"/>
        <scheme val="minor"/>
      </rPr>
      <t>. Het gebruik van dit tabblad is optioneel; je kan de bedragen ook rechtstreeks in het</t>
    </r>
    <r>
      <rPr>
        <i/>
        <sz val="11"/>
        <color theme="3"/>
        <rFont val="Calibri"/>
        <family val="2"/>
        <scheme val="minor"/>
      </rPr>
      <t xml:space="preserve"> tabblad Berekening</t>
    </r>
    <r>
      <rPr>
        <sz val="11"/>
        <color theme="1"/>
        <rFont val="Calibri"/>
        <family val="2"/>
        <scheme val="minor"/>
      </rPr>
      <t xml:space="preserve"> invoeren.</t>
    </r>
    <r>
      <rPr>
        <b/>
        <sz val="11"/>
        <color theme="1"/>
        <rFont val="Calibri"/>
        <family val="2"/>
        <scheme val="minor"/>
      </rPr>
      <t xml:space="preserve">
</t>
    </r>
  </si>
  <si>
    <t>premie categorie</t>
  </si>
  <si>
    <r>
      <t xml:space="preserve">Doel
</t>
    </r>
    <r>
      <rPr>
        <sz val="11"/>
        <color theme="1"/>
        <rFont val="Calibri"/>
        <family val="2"/>
        <scheme val="minor"/>
      </rPr>
      <t>Basisgegevens verzamelen met betrekking tot de quotiteiten van de verschillende kavels in het gebouw. Deze informatie is essentieel om een correcte en evenwichtige kostenverdeling te kunnen maken.</t>
    </r>
    <r>
      <rPr>
        <b/>
        <sz val="11"/>
        <color theme="1"/>
        <rFont val="Calibri"/>
        <family val="2"/>
        <scheme val="minor"/>
      </rPr>
      <t xml:space="preserve">
</t>
    </r>
  </si>
  <si>
    <t>Quotiteiten - samenvatting</t>
  </si>
  <si>
    <t>Quotiteiten - details</t>
  </si>
  <si>
    <t>Herstellingswerken lift</t>
  </si>
  <si>
    <r>
      <t xml:space="preserve">Doel
</t>
    </r>
    <r>
      <rPr>
        <sz val="11"/>
        <color theme="1"/>
        <rFont val="Calibri"/>
        <family val="2"/>
        <scheme val="minor"/>
      </rPr>
      <t>In dit tabblad worden alle achterliggende berekeningen uitgevoerd om de totaalprijs te bepalen, te berekenen welk deel in aanmerking komt voor de Mijn VerbouwLening VME, het resterende bedrag te bepalen dat eventueel geleend kan worden via een ander VME-krediet, en om het bedrag van de Mijn VerbouwPremie vast te stellen.</t>
    </r>
    <r>
      <rPr>
        <b/>
        <sz val="11"/>
        <color theme="1"/>
        <rFont val="Calibri"/>
        <family val="2"/>
        <scheme val="minor"/>
      </rPr>
      <t xml:space="preserve">
</t>
    </r>
  </si>
  <si>
    <r>
      <t xml:space="preserve">Stappenplan
</t>
    </r>
    <r>
      <rPr>
        <sz val="11"/>
        <color theme="1"/>
        <rFont val="Calibri"/>
        <family val="2"/>
        <scheme val="minor"/>
      </rPr>
      <t>1. Je ziet twee schema's op deze pagina</t>
    </r>
    <r>
      <rPr>
        <sz val="11"/>
        <rFont val="Calibri"/>
        <family val="2"/>
        <scheme val="minor"/>
      </rPr>
      <t xml:space="preserve"> "Quotiteiten - samenvatting"</t>
    </r>
    <r>
      <rPr>
        <sz val="11"/>
        <color theme="1"/>
        <rFont val="Calibri"/>
        <family val="2"/>
        <scheme val="minor"/>
      </rPr>
      <t xml:space="preserve"> (hier blijf je af) e</t>
    </r>
    <r>
      <rPr>
        <sz val="11"/>
        <rFont val="Calibri"/>
        <family val="2"/>
        <scheme val="minor"/>
      </rPr>
      <t>n "Quotiteiten - details"</t>
    </r>
    <r>
      <rPr>
        <sz val="11"/>
        <color theme="0" tint="-0.499984740745262"/>
        <rFont val="Calibri"/>
        <family val="2"/>
        <scheme val="minor"/>
      </rPr>
      <t xml:space="preserve"> </t>
    </r>
    <r>
      <rPr>
        <sz val="11"/>
        <color theme="1"/>
        <rFont val="Calibri"/>
        <family val="2"/>
        <scheme val="minor"/>
      </rPr>
      <t xml:space="preserve">(hieronder vul je alle kavels en hun bijhorende quotiteiten in).
2. Controleer of het totaal aantal quotiteiten overeenkomt met wat vermeld staat in de basisakte.
3. Controleer of de meest voorkomende quotiteit overeenkomt met de werkelijkheid. 
</t>
    </r>
    <r>
      <rPr>
        <u/>
        <sz val="11"/>
        <color theme="1"/>
        <rFont val="Calibri"/>
        <family val="2"/>
        <scheme val="minor"/>
      </rPr>
      <t>Let op:</t>
    </r>
    <r>
      <rPr>
        <sz val="11"/>
        <color theme="1"/>
        <rFont val="Calibri"/>
        <family val="2"/>
        <scheme val="minor"/>
      </rPr>
      <t xml:space="preserve"> als er van elke quotiteit evenveel kavels zijn (bijvoorbeeld 5 appartementen met Q15, 5 met Q20 en 5 met Q30), kan de automatische bepaling fout lopen. In dat geval kan je de formule in </t>
    </r>
    <r>
      <rPr>
        <i/>
        <sz val="11"/>
        <color theme="3"/>
        <rFont val="Calibri"/>
        <family val="2"/>
        <scheme val="minor"/>
      </rPr>
      <t xml:space="preserve">cel E4 </t>
    </r>
    <r>
      <rPr>
        <sz val="11"/>
        <color theme="1"/>
        <rFont val="Calibri"/>
        <family val="2"/>
        <scheme val="minor"/>
      </rPr>
      <t>handmatig overschrijven en zelf één van de quotiteiten kiezen.</t>
    </r>
    <r>
      <rPr>
        <b/>
        <sz val="11"/>
        <color theme="1"/>
        <rFont val="Calibri"/>
        <family val="2"/>
        <scheme val="minor"/>
      </rPr>
      <t xml:space="preserve">
</t>
    </r>
  </si>
  <si>
    <r>
      <rPr>
        <b/>
        <sz val="11"/>
        <color theme="1"/>
        <rFont val="Calibri"/>
        <family val="2"/>
        <scheme val="minor"/>
      </rPr>
      <t>Stappenplan</t>
    </r>
    <r>
      <rPr>
        <sz val="11"/>
        <color theme="1"/>
        <rFont val="Calibri"/>
        <family val="2"/>
        <scheme val="minor"/>
      </rPr>
      <t xml:space="preserve">
1. Als je geen verschillende scenario’s hebt, laat dan in cel </t>
    </r>
    <r>
      <rPr>
        <i/>
        <sz val="11"/>
        <color theme="3"/>
        <rFont val="Calibri"/>
        <family val="2"/>
        <scheme val="minor"/>
      </rPr>
      <t>C3</t>
    </r>
    <r>
      <rPr>
        <sz val="11"/>
        <color theme="1"/>
        <rFont val="Calibri"/>
        <family val="2"/>
        <scheme val="minor"/>
      </rPr>
      <t xml:space="preserve"> Scenario 1 staan.
2. Voor de categorieën Buitenmuur en Warmtepomp specificeer je het soort werken in kolom B.
3. De prijzen in kolom D overschrijf je niet, tenzij je het</t>
    </r>
    <r>
      <rPr>
        <i/>
        <sz val="11"/>
        <color theme="3"/>
        <rFont val="Calibri"/>
        <family val="2"/>
        <scheme val="minor"/>
      </rPr>
      <t xml:space="preserve"> tabblad Raming</t>
    </r>
    <r>
      <rPr>
        <sz val="11"/>
        <color theme="1"/>
        <rFont val="Calibri"/>
        <family val="2"/>
        <scheme val="minor"/>
      </rPr>
      <t xml:space="preserve"> niet gebruikt. In dat geval overschrijf je de formules van de bedragen en later ook de m² in kolom G.
4. Indien er bonussen van toepassing zijn, pas je deze aan in kolom H. Controleer altijd de voorwaarden op de website van Mijn VerbouwPremie.
5. Zodra alles rode tekst is nagekeken, lees je in kolom I (lichtgroen) de basispremie voor de VME; dit bedrag wordt gestort op de rekening van de VME.
6. In kolom J tot en met L zie je enkele tussenberekeningen.
7. In kolom N tot en met Q (lichtgroen) zie je de berekening van de basispremie plus de aanvullende premie voor de quotiteit die in cel N2 staat. Standaard wordt hier de meest voorkomende quotiteit ingevuld.
8. Wil je de quotiteit wijzigen? Dit kan via het </t>
    </r>
    <r>
      <rPr>
        <i/>
        <sz val="11"/>
        <color theme="3"/>
        <rFont val="Calibri"/>
        <family val="2"/>
        <scheme val="minor"/>
      </rPr>
      <t>tabblad Matrix Kavel</t>
    </r>
    <r>
      <rPr>
        <sz val="11"/>
        <color theme="1"/>
        <rFont val="Calibri"/>
        <family val="2"/>
        <scheme val="minor"/>
      </rPr>
      <t>. 
9. Alle bedragen worden doorgelinkt naar</t>
    </r>
    <r>
      <rPr>
        <i/>
        <sz val="11"/>
        <color theme="3"/>
        <rFont val="Calibri"/>
        <family val="2"/>
        <scheme val="minor"/>
      </rPr>
      <t xml:space="preserve"> tabblad Matrix Kavel </t>
    </r>
    <r>
      <rPr>
        <sz val="11"/>
        <color theme="1"/>
        <rFont val="Calibri"/>
        <family val="2"/>
        <scheme val="minor"/>
      </rPr>
      <t xml:space="preserve">om een overzicht te maken van alle opties.
10. Dit berekeningstabblad deel je niet met de VME.
</t>
    </r>
  </si>
  <si>
    <r>
      <t>Stappenplan</t>
    </r>
    <r>
      <rPr>
        <sz val="11"/>
        <color theme="1"/>
        <rFont val="Calibri"/>
        <family val="2"/>
        <scheme val="minor"/>
      </rPr>
      <t xml:space="preserve">
1. In cel </t>
    </r>
    <r>
      <rPr>
        <i/>
        <sz val="11"/>
        <color theme="3"/>
        <rFont val="Calibri"/>
        <family val="2"/>
        <scheme val="minor"/>
      </rPr>
      <t>B3</t>
    </r>
    <r>
      <rPr>
        <sz val="11"/>
        <color theme="1"/>
        <rFont val="Calibri"/>
        <family val="2"/>
        <scheme val="minor"/>
      </rPr>
      <t xml:space="preserve"> staat standaard de meest voorkomende quotiteit, die je voor een eerste berekening kunt laten staan. Indien gewenst kun je deze cel handmatig aanpassen om een specifieke kavel te simuleren. Je zult zien dat de berekeningen op het </t>
    </r>
    <r>
      <rPr>
        <i/>
        <sz val="11"/>
        <color theme="3"/>
        <rFont val="Calibri"/>
        <family val="2"/>
        <scheme val="minor"/>
      </rPr>
      <t>tabblad Berekening</t>
    </r>
    <r>
      <rPr>
        <sz val="11"/>
        <color theme="1"/>
        <rFont val="Calibri"/>
        <family val="2"/>
        <scheme val="minor"/>
      </rPr>
      <t xml:space="preserve">, kolom N tot Q, automatisch mee wijzigen. Deze berekeningen gebruiken de quotiteit uit cel </t>
    </r>
    <r>
      <rPr>
        <i/>
        <sz val="11"/>
        <color theme="3"/>
        <rFont val="Calibri"/>
        <family val="2"/>
        <scheme val="minor"/>
      </rPr>
      <t>B3</t>
    </r>
    <r>
      <rPr>
        <sz val="11"/>
        <color theme="1"/>
        <rFont val="Calibri"/>
        <family val="2"/>
        <scheme val="minor"/>
      </rPr>
      <t xml:space="preserve"> en worden daarna teruggekoppeld naar dit schema.
2. De vier financieringsopties zijn alleen van toepassing op residentiële kavels. Gaat het om een niet-residentieel kavel, zoals een handelszaak of parkeerplaats, dan gelden mogelijk niet alle opties. Verberg of grijs in de presentatie daarom de kolommen van optie 2 en optie 3 en de rijen met premies die niet relevant zijn, zodat eigenaars van niet-residentiële kavels geen onjuiste financieringsvoorstellen zien.
3. Bepaal of je enkel het eerste deel (aangeraden), het eerste en het tweede of alle delen uit dit tabblad toont aan de eigenaars.</t>
    </r>
    <r>
      <rPr>
        <b/>
        <sz val="11"/>
        <color theme="1"/>
        <rFont val="Calibri"/>
        <family val="2"/>
        <scheme val="minor"/>
      </rPr>
      <t xml:space="preserve">
</t>
    </r>
  </si>
  <si>
    <t>📘 Handleiding: Gebruik financieringsmatrix</t>
  </si>
  <si>
    <r>
      <rPr>
        <b/>
        <sz val="11"/>
        <color theme="1"/>
        <rFont val="Calibri"/>
        <family val="2"/>
        <scheme val="minor"/>
      </rPr>
      <t xml:space="preserve">Stappenplan
</t>
    </r>
    <r>
      <rPr>
        <sz val="11"/>
        <color theme="1"/>
        <rFont val="Calibri"/>
        <family val="2"/>
        <scheme val="minor"/>
      </rPr>
      <t xml:space="preserve">1. Je ziet 2 schema's op deze pagina </t>
    </r>
    <r>
      <rPr>
        <sz val="11"/>
        <rFont val="Calibri"/>
        <family val="2"/>
        <scheme val="minor"/>
      </rPr>
      <t>"Raming van de gemeenschappelijke kosten – samenvatting"</t>
    </r>
    <r>
      <rPr>
        <sz val="11"/>
        <color theme="1"/>
        <rFont val="Calibri"/>
        <family val="2"/>
        <scheme val="minor"/>
      </rPr>
      <t xml:space="preserve"> en "</t>
    </r>
    <r>
      <rPr>
        <sz val="11"/>
        <rFont val="Calibri"/>
        <family val="2"/>
        <scheme val="minor"/>
      </rPr>
      <t>Raming van de gemeenschappelijke kosten – details"</t>
    </r>
    <r>
      <rPr>
        <sz val="11"/>
        <color theme="1"/>
        <rFont val="Calibri"/>
        <family val="2"/>
        <scheme val="minor"/>
      </rPr>
      <t xml:space="preserve">. Blijf af van de samenvatting en vul alles in het detailschema in.
2. Kopieer of typ alle gegevens uit de raming of offerte in de juiste kolommen van het detailschema.
3. Vul minimaal de volgende kolommen in: D (m²), E (prijs)
4. Vul de premie categorie in in kolom F. Zorg ervoor dat je alles invult, ook als er geen premie is.
</t>
    </r>
    <r>
      <rPr>
        <u/>
        <sz val="11"/>
        <color theme="1"/>
        <rFont val="Calibri"/>
        <family val="2"/>
        <scheme val="minor"/>
      </rPr>
      <t>Let op:</t>
    </r>
    <r>
      <rPr>
        <sz val="11"/>
        <color theme="1"/>
        <rFont val="Calibri"/>
        <family val="2"/>
        <scheme val="minor"/>
      </rPr>
      <t xml:space="preserve"> Wanneer in de raming of offerte geen duidelijk onderscheid wordt gemaakt tussen isolatiekosten en renovatiekosten, kies je altijd voor de isolatiekost. Houd er rekening mee dat de basispremie hierdoor te hoog wordt ingeschat; dit moet je expliciet vermelden.Kies je daarentegen voor renovatie, dan wordt de kost helemaal niet meegerekend bij de Vlaamse lening of premie. Dit komt doordat de ingebouwde formule bepaalt dat renovatiekosten enkel in aanmerking komen voor de aanvullende premie wanneer er óók isolatiekosten in de raming of offerte zijn opgenomen. 
</t>
    </r>
    <r>
      <rPr>
        <u/>
        <sz val="11"/>
        <color theme="1"/>
        <rFont val="Calibri"/>
        <family val="2"/>
        <scheme val="minor"/>
      </rPr>
      <t xml:space="preserve">Let op: </t>
    </r>
    <r>
      <rPr>
        <sz val="11"/>
        <color theme="1"/>
        <rFont val="Calibri"/>
        <family val="2"/>
        <scheme val="minor"/>
      </rPr>
      <t xml:space="preserve">Wanneer in de raming bijvoorbeeld isolatie 30 m², regenscherm 30 m² en geventileerde gevel 30 m² staat, telt het samenvattingsschema deze oppervlakten automatisch samen. Hierdoor krijg je het resultaat isolatie = 30 m² en renovatie = 60 m². Dit betekent dat de renovatie-oppervlakte dubbel wordt meegerekend. Om dit te corrigeren moet je een manuele aanpassing doen. Je kan dit oplossen door de waarde rechtstreeks te overschrijven in het samenvattingsoverzicht of door de dubbele vierkante meters bij de betrokken posten te verwijderen.
5. Vul een “x” in bij de scenario’s in kolom G tot en met L waarin je deze post wil laten meetellen.
5. Controleer in het samenvattingsschema of de kostprijs en m² van de scenario’s correct worden bijgewerkt op basis van de ingevulde “x”.
6. Als je geen verschillende scenario’s gebruikt, zet dan alsnog voor alle posten een “x” bij Scenario 1 (kolom G).
</t>
    </r>
  </si>
  <si>
    <t>Versie 20250930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</si>
</sst>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 #,##0.00;[Red]&quot;€&quot;\ \-#,##0.00"/>
    <numFmt numFmtId="42" formatCode="_ &quot;€&quot;\ * #,##0_ ;_ &quot;€&quot;\ * \-#,##0_ ;_ &quot;€&quot;\ * &quot;-&quot;_ ;_ @_ "/>
    <numFmt numFmtId="44" formatCode="_ &quot;€&quot;\ * #,##0.00_ ;_ &quot;€&quot;\ * \-#,##0.00_ ;_ &quot;€&quot;\ * &quot;-&quot;??_ ;_ @_ "/>
    <numFmt numFmtId="164" formatCode="#,##0\ &quot;€&quot;;\-#,##0\ &quot;€&quot;"/>
    <numFmt numFmtId="165" formatCode="_-* #,##0.00\ &quot;€&quot;_-;\-* #,##0.00\ &quot;€&quot;_-;_-* &quot;-&quot;??\ &quot;€&quot;_-;_-@_-"/>
    <numFmt numFmtId="166" formatCode="_-* #,##0.00_-;\-* #,##0.00_-;_-* &quot;-&quot;??_-;_-@_-"/>
    <numFmt numFmtId="167" formatCode="_ &quot;€&quot;\ * #,##0_ ;_ &quot;€&quot;\ * \-#,##0_ ;_ &quot;€&quot;\ * &quot;-&quot;??_ ;_ @_ "/>
    <numFmt numFmtId="168" formatCode="#,##0\ &quot;€&quot;"/>
    <numFmt numFmtId="169" formatCode="&quot;€&quot;\ #,##0.00"/>
    <numFmt numFmtId="170" formatCode="_-* #,##0\ &quot;€&quot;_-;\-* #,##0\ &quot;€&quot;_-;_-* &quot;-&quot;??\ &quot;€&quot;_-;_-@_-"/>
    <numFmt numFmtId="171" formatCode="&quot;€&quot;\ #,##0"/>
    <numFmt numFmtId="172" formatCode="0.0000000%"/>
    <numFmt numFmtId="173" formatCode="_ [$€-813]\ * #,##0_ ;_ [$€-813]\ * \-#,##0_ ;_ [$€-813]\ * &quot;-&quot;??_ ;_ @_ "/>
  </numFmts>
  <fonts count="86"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name val="Calibri"/>
      <family val="2"/>
      <scheme val="minor"/>
    </font>
    <font>
      <sz val="12"/>
      <name val="Helvetica"/>
      <family val="2"/>
    </font>
    <font>
      <b/>
      <sz val="12"/>
      <name val="Helvetica"/>
      <family val="2"/>
    </font>
    <font>
      <sz val="11"/>
      <name val="Helvetica"/>
      <family val="2"/>
    </font>
    <font>
      <b/>
      <sz val="20"/>
      <color theme="1"/>
      <name val="Calibri"/>
      <family val="2"/>
      <scheme val="minor"/>
    </font>
    <font>
      <sz val="20"/>
      <color theme="1"/>
      <name val="Calibri"/>
      <family val="2"/>
      <scheme val="minor"/>
    </font>
    <font>
      <sz val="9"/>
      <color theme="1"/>
      <name val="Calibri"/>
      <family val="2"/>
      <scheme val="minor"/>
    </font>
    <font>
      <b/>
      <sz val="9"/>
      <color theme="1"/>
      <name val="Calibri"/>
      <family val="2"/>
      <scheme val="minor"/>
    </font>
    <font>
      <sz val="9"/>
      <name val="Calibri"/>
      <family val="2"/>
      <scheme val="minor"/>
    </font>
    <font>
      <sz val="20"/>
      <color theme="0"/>
      <name val="Calibri"/>
      <family val="2"/>
      <scheme val="minor"/>
    </font>
    <font>
      <sz val="11"/>
      <name val="Calibri"/>
      <family val="2"/>
    </font>
    <font>
      <sz val="10"/>
      <name val="Arial"/>
      <family val="2"/>
    </font>
    <font>
      <b/>
      <sz val="10"/>
      <name val="Arial"/>
      <family val="2"/>
    </font>
    <font>
      <sz val="10"/>
      <color indexed="8"/>
      <name val="Arial"/>
      <family val="2"/>
    </font>
    <font>
      <sz val="11"/>
      <color theme="1"/>
      <name val="Calibri"/>
      <family val="2"/>
      <scheme val="minor"/>
    </font>
    <font>
      <sz val="10"/>
      <name val="Arial"/>
      <family val="2"/>
    </font>
    <font>
      <sz val="10"/>
      <color theme="1"/>
      <name val="Arial Narrow"/>
      <family val="2"/>
    </font>
    <font>
      <sz val="11"/>
      <name val="Calibri"/>
      <family val="2"/>
    </font>
    <font>
      <sz val="12"/>
      <color theme="1"/>
      <name val="Calibri"/>
      <family val="2"/>
      <scheme val="minor"/>
    </font>
    <font>
      <sz val="11"/>
      <name val="Calibri"/>
      <family val="2"/>
      <scheme val="minor"/>
    </font>
    <font>
      <sz val="10"/>
      <name val="Arial"/>
      <family val="2"/>
    </font>
    <font>
      <sz val="11"/>
      <name val="Calibri"/>
      <family val="2"/>
    </font>
    <font>
      <sz val="11"/>
      <color rgb="FF9C0006"/>
      <name val="Calibri"/>
      <family val="2"/>
      <scheme val="minor"/>
    </font>
    <font>
      <sz val="10"/>
      <name val="Arial"/>
      <family val="2"/>
    </font>
    <font>
      <sz val="8"/>
      <name val="Calibri"/>
      <family val="2"/>
      <scheme val="minor"/>
    </font>
    <font>
      <sz val="10"/>
      <name val="Calibri"/>
      <family val="2"/>
    </font>
    <font>
      <sz val="11"/>
      <color theme="0" tint="-0.499984740745262"/>
      <name val="Calibri"/>
      <family val="2"/>
      <scheme val="minor"/>
    </font>
    <font>
      <sz val="11"/>
      <color theme="0" tint="-0.34998626667073579"/>
      <name val="Calibri"/>
      <family val="2"/>
      <scheme val="minor"/>
    </font>
    <font>
      <u/>
      <sz val="11"/>
      <color theme="10"/>
      <name val="Calibri"/>
      <family val="2"/>
      <scheme val="minor"/>
    </font>
    <font>
      <b/>
      <sz val="16"/>
      <name val="Arial"/>
      <family val="2"/>
    </font>
    <font>
      <sz val="16"/>
      <name val="Arial"/>
      <family val="2"/>
    </font>
    <font>
      <b/>
      <sz val="10"/>
      <color rgb="FF209F82"/>
      <name val="Arial"/>
      <family val="2"/>
    </font>
    <font>
      <u/>
      <sz val="10"/>
      <color theme="10"/>
      <name val="Arial"/>
      <family val="2"/>
    </font>
    <font>
      <b/>
      <sz val="11"/>
      <color theme="0" tint="-4.9989318521683403E-2"/>
      <name val="Arial"/>
      <family val="2"/>
    </font>
    <font>
      <sz val="11"/>
      <color theme="1"/>
      <name val="Arial"/>
      <family val="2"/>
    </font>
    <font>
      <sz val="11"/>
      <color rgb="FF9C0006"/>
      <name val="Arial"/>
      <family val="2"/>
    </font>
    <font>
      <sz val="11"/>
      <color theme="0"/>
      <name val="Helvetica"/>
      <family val="2"/>
    </font>
    <font>
      <b/>
      <sz val="9"/>
      <color theme="0"/>
      <name val="Calibri"/>
      <family val="2"/>
      <scheme val="minor"/>
    </font>
    <font>
      <b/>
      <sz val="9"/>
      <color rgb="FFFF0000"/>
      <name val="Calibri"/>
      <family val="2"/>
      <scheme val="minor"/>
    </font>
    <font>
      <i/>
      <sz val="11"/>
      <color theme="0" tint="-0.34998626667073579"/>
      <name val="Calibri"/>
      <family val="2"/>
      <scheme val="minor"/>
    </font>
    <font>
      <u/>
      <sz val="11"/>
      <color theme="1"/>
      <name val="Calibri"/>
      <family val="2"/>
      <scheme val="minor"/>
    </font>
    <font>
      <b/>
      <i/>
      <sz val="11"/>
      <name val="Calibri"/>
      <family val="2"/>
      <scheme val="minor"/>
    </font>
    <font>
      <b/>
      <sz val="10"/>
      <color rgb="FFFF0000"/>
      <name val="Calibri"/>
      <family val="2"/>
      <scheme val="minor"/>
    </font>
    <font>
      <b/>
      <sz val="11"/>
      <color theme="1" tint="4.9989318521683403E-2"/>
      <name val="Calibri"/>
      <family val="2"/>
      <scheme val="minor"/>
    </font>
    <font>
      <b/>
      <sz val="11"/>
      <color theme="0" tint="-0.34998626667073579"/>
      <name val="Calibri"/>
      <family val="2"/>
      <scheme val="minor"/>
    </font>
    <font>
      <b/>
      <i/>
      <sz val="11"/>
      <color theme="0" tint="-0.34998626667073579"/>
      <name val="Calibri"/>
      <family val="2"/>
      <scheme val="minor"/>
    </font>
    <font>
      <u/>
      <sz val="11"/>
      <color theme="0" tint="-0.34998626667073579"/>
      <name val="Calibri"/>
      <family val="2"/>
      <scheme val="minor"/>
    </font>
    <font>
      <sz val="12"/>
      <name val="Helvetica"/>
    </font>
    <font>
      <sz val="10"/>
      <color theme="1"/>
      <name val="Arial"/>
      <family val="2"/>
    </font>
    <font>
      <b/>
      <sz val="10"/>
      <color indexed="8"/>
      <name val="Arial"/>
      <family val="2"/>
    </font>
    <font>
      <sz val="10"/>
      <color theme="1"/>
      <name val="Calibri"/>
      <family val="2"/>
      <scheme val="minor"/>
    </font>
    <font>
      <sz val="10"/>
      <color theme="1" tint="4.9989318521683403E-2"/>
      <name val="Calibri"/>
      <family val="2"/>
      <scheme val="minor"/>
    </font>
    <font>
      <b/>
      <u/>
      <sz val="11"/>
      <color theme="1"/>
      <name val="Calibri"/>
      <family val="2"/>
      <scheme val="minor"/>
    </font>
    <font>
      <sz val="11"/>
      <color theme="1" tint="4.9989318521683403E-2"/>
      <name val="Calibri"/>
      <family val="2"/>
      <scheme val="minor"/>
    </font>
    <font>
      <b/>
      <sz val="16"/>
      <color theme="1"/>
      <name val="Calibri"/>
      <family val="2"/>
      <scheme val="minor"/>
    </font>
    <font>
      <i/>
      <sz val="11"/>
      <color theme="1"/>
      <name val="Calibri"/>
      <family val="2"/>
      <scheme val="minor"/>
    </font>
    <font>
      <sz val="11"/>
      <color theme="3"/>
      <name val="Calibri"/>
      <family val="2"/>
      <scheme val="minor"/>
    </font>
    <font>
      <b/>
      <u/>
      <sz val="11"/>
      <color theme="4" tint="-0.249977111117893"/>
      <name val="Calibri"/>
      <family val="2"/>
      <scheme val="minor"/>
    </font>
    <font>
      <b/>
      <u/>
      <sz val="11"/>
      <color theme="6"/>
      <name val="Calibri"/>
      <family val="2"/>
      <scheme val="minor"/>
    </font>
    <font>
      <i/>
      <sz val="11"/>
      <color theme="3"/>
      <name val="Calibri"/>
      <family val="2"/>
      <scheme val="minor"/>
    </font>
    <font>
      <b/>
      <sz val="10"/>
      <color rgb="FFFF0000"/>
      <name val="Arial"/>
      <family val="2"/>
    </font>
    <font>
      <b/>
      <sz val="10"/>
      <color indexed="10"/>
      <name val="Arial"/>
      <family val="2"/>
    </font>
    <font>
      <sz val="16"/>
      <color theme="1"/>
      <name val="Calibri"/>
      <family val="2"/>
      <scheme val="minor"/>
    </font>
    <font>
      <i/>
      <u/>
      <sz val="11"/>
      <color theme="1"/>
      <name val="Calibri"/>
      <family val="2"/>
      <scheme val="minor"/>
    </font>
    <font>
      <i/>
      <sz val="9"/>
      <color rgb="FF209F82"/>
      <name val="Arial"/>
      <family val="2"/>
    </font>
    <font>
      <b/>
      <sz val="12"/>
      <color rgb="FFFF0000"/>
      <name val="Calibri"/>
      <family val="2"/>
      <scheme val="minor"/>
    </font>
    <font>
      <b/>
      <sz val="10"/>
      <color indexed="8"/>
      <name val="Calibri"/>
      <family val="2"/>
    </font>
    <font>
      <b/>
      <sz val="10"/>
      <color theme="1"/>
      <name val="Calibri"/>
      <family val="2"/>
      <scheme val="minor"/>
    </font>
    <font>
      <sz val="10"/>
      <name val="Calibri"/>
      <family val="2"/>
      <scheme val="minor"/>
    </font>
    <font>
      <sz val="10"/>
      <color rgb="FFFF0000"/>
      <name val="Calibri"/>
      <family val="2"/>
      <scheme val="minor"/>
    </font>
    <font>
      <b/>
      <sz val="10"/>
      <name val="Calibri"/>
      <family val="2"/>
      <scheme val="minor"/>
    </font>
    <font>
      <sz val="10"/>
      <color theme="0"/>
      <name val="Calibri"/>
      <family val="2"/>
      <scheme val="minor"/>
    </font>
    <font>
      <b/>
      <sz val="10"/>
      <color theme="0"/>
      <name val="Calibri"/>
      <family val="2"/>
      <scheme val="minor"/>
    </font>
    <font>
      <b/>
      <sz val="10"/>
      <color indexed="8"/>
      <name val="Calibri"/>
      <family val="2"/>
      <scheme val="minor"/>
    </font>
    <font>
      <b/>
      <sz val="12"/>
      <name val="Calibri"/>
      <family val="2"/>
      <scheme val="minor"/>
    </font>
    <font>
      <sz val="12"/>
      <name val="Calibri"/>
      <family val="2"/>
      <scheme val="minor"/>
    </font>
    <font>
      <b/>
      <u/>
      <sz val="12"/>
      <name val="Calibri"/>
      <family val="2"/>
      <scheme val="minor"/>
    </font>
    <font>
      <sz val="14"/>
      <name val="Calibri"/>
      <family val="2"/>
      <scheme val="minor"/>
    </font>
    <font>
      <b/>
      <sz val="12"/>
      <color theme="1"/>
      <name val="Calibri"/>
      <family val="2"/>
      <scheme val="minor"/>
    </font>
    <font>
      <sz val="11"/>
      <color theme="6"/>
      <name val="Calibri"/>
      <family val="2"/>
      <scheme val="minor"/>
    </font>
    <font>
      <b/>
      <sz val="20"/>
      <color rgb="FFFF0000"/>
      <name val="Calibri"/>
      <family val="2"/>
      <scheme val="minor"/>
    </font>
  </fonts>
  <fills count="18">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8"/>
      </patternFill>
    </fill>
    <fill>
      <patternFill patternType="solid">
        <fgColor theme="0" tint="-0.34998626667073579"/>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rgb="FFFFC7CE"/>
      </patternFill>
    </fill>
    <fill>
      <patternFill patternType="solid">
        <fgColor rgb="FF209F82"/>
        <bgColor indexed="64"/>
      </patternFill>
    </fill>
    <fill>
      <patternFill patternType="solid">
        <fgColor rgb="FFD8E4BC"/>
        <bgColor indexed="64"/>
      </patternFill>
    </fill>
    <fill>
      <patternFill patternType="lightUp">
        <fgColor theme="0" tint="-0.24994659260841701"/>
        <bgColor indexed="65"/>
      </patternFill>
    </fill>
    <fill>
      <patternFill patternType="darkUp">
        <fgColor theme="0"/>
        <bgColor theme="6" tint="0.39994506668294322"/>
      </patternFill>
    </fill>
    <fill>
      <patternFill patternType="solid">
        <fgColor theme="6" tint="0.59999389629810485"/>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6" tint="0.79998168889431442"/>
        <bgColor indexed="64"/>
      </patternFill>
    </fill>
  </fills>
  <borders count="13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hair">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bottom/>
      <diagonal/>
    </border>
    <border>
      <left style="medium">
        <color indexed="64"/>
      </left>
      <right style="medium">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theme="1"/>
      </top>
      <bottom/>
      <diagonal/>
    </border>
    <border>
      <left/>
      <right style="medium">
        <color indexed="64"/>
      </right>
      <top style="medium">
        <color theme="1"/>
      </top>
      <bottom/>
      <diagonal/>
    </border>
    <border>
      <left style="medium">
        <color indexed="64"/>
      </left>
      <right style="medium">
        <color indexed="64"/>
      </right>
      <top/>
      <bottom style="medium">
        <color theme="1"/>
      </bottom>
      <diagonal/>
    </border>
    <border>
      <left/>
      <right style="medium">
        <color indexed="64"/>
      </right>
      <top/>
      <bottom style="medium">
        <color theme="1"/>
      </bottom>
      <diagonal/>
    </border>
    <border>
      <left style="medium">
        <color indexed="64"/>
      </left>
      <right/>
      <top/>
      <bottom style="medium">
        <color theme="1"/>
      </bottom>
      <diagonal/>
    </border>
    <border>
      <left style="medium">
        <color indexed="64"/>
      </left>
      <right style="thin">
        <color indexed="64"/>
      </right>
      <top/>
      <bottom style="medium">
        <color theme="1"/>
      </bottom>
      <diagonal/>
    </border>
    <border>
      <left style="medium">
        <color indexed="64"/>
      </left>
      <right style="thin">
        <color indexed="64"/>
      </right>
      <top/>
      <bottom style="medium">
        <color indexed="64"/>
      </bottom>
      <diagonal/>
    </border>
    <border>
      <left style="medium">
        <color theme="1"/>
      </left>
      <right/>
      <top style="medium">
        <color theme="1"/>
      </top>
      <bottom/>
      <diagonal/>
    </border>
    <border>
      <left style="medium">
        <color indexed="64"/>
      </left>
      <right/>
      <top style="medium">
        <color theme="1"/>
      </top>
      <bottom style="medium">
        <color indexed="64"/>
      </bottom>
      <diagonal/>
    </border>
    <border>
      <left style="thin">
        <color indexed="64"/>
      </left>
      <right/>
      <top style="medium">
        <color theme="1"/>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style="medium">
        <color theme="1"/>
      </left>
      <right style="thin">
        <color indexed="64"/>
      </right>
      <top style="thin">
        <color indexed="64"/>
      </top>
      <bottom/>
      <diagonal/>
    </border>
    <border>
      <left style="thin">
        <color indexed="64"/>
      </left>
      <right/>
      <top/>
      <bottom style="medium">
        <color theme="1"/>
      </bottom>
      <diagonal/>
    </border>
    <border>
      <left style="thin">
        <color indexed="64"/>
      </left>
      <right style="medium">
        <color indexed="64"/>
      </right>
      <top style="thin">
        <color theme="0" tint="-0.34998626667073579"/>
      </top>
      <bottom/>
      <diagonal/>
    </border>
    <border>
      <left style="medium">
        <color indexed="64"/>
      </left>
      <right style="medium">
        <color indexed="64"/>
      </right>
      <top style="thin">
        <color theme="0" tint="-0.34998626667073579"/>
      </top>
      <bottom/>
      <diagonal/>
    </border>
    <border>
      <left/>
      <right style="medium">
        <color indexed="64"/>
      </right>
      <top style="thin">
        <color theme="0" tint="-0.34998626667073579"/>
      </top>
      <bottom/>
      <diagonal/>
    </border>
    <border>
      <left style="medium">
        <color indexed="64"/>
      </left>
      <right/>
      <top style="thin">
        <color theme="0" tint="-0.34998626667073579"/>
      </top>
      <bottom/>
      <diagonal/>
    </border>
    <border>
      <left style="medium">
        <color indexed="64"/>
      </left>
      <right style="thin">
        <color indexed="64"/>
      </right>
      <top style="thin">
        <color theme="0" tint="-0.34998626667073579"/>
      </top>
      <bottom/>
      <diagonal/>
    </border>
    <border>
      <left/>
      <right/>
      <top/>
      <bottom style="thin">
        <color theme="0" tint="-0.34998626667073579"/>
      </bottom>
      <diagonal/>
    </border>
    <border>
      <left style="medium">
        <color indexed="64"/>
      </left>
      <right style="medium">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bottom style="thin">
        <color theme="0" tint="-0.34998626667073579"/>
      </bottom>
      <diagonal/>
    </border>
    <border>
      <left/>
      <right/>
      <top style="thin">
        <color theme="0" tint="-0.34998626667073579"/>
      </top>
      <bottom/>
      <diagonal/>
    </border>
    <border>
      <left/>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medium">
        <color theme="1"/>
      </right>
      <top/>
      <bottom/>
      <diagonal/>
    </border>
    <border>
      <left/>
      <right style="thin">
        <color indexed="64"/>
      </right>
      <top style="thin">
        <color theme="0" tint="-0.34998626667073579"/>
      </top>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bottom style="medium">
        <color theme="1"/>
      </bottom>
      <diagonal/>
    </border>
    <border>
      <left style="medium">
        <color theme="1"/>
      </left>
      <right style="medium">
        <color theme="1"/>
      </right>
      <top style="medium">
        <color theme="1"/>
      </top>
      <bottom style="medium">
        <color theme="1"/>
      </bottom>
      <diagonal/>
    </border>
    <border>
      <left style="thin">
        <color indexed="64"/>
      </left>
      <right/>
      <top style="thin">
        <color theme="0" tint="-0.34998626667073579"/>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style="medium">
        <color indexed="64"/>
      </left>
      <right style="medium">
        <color indexed="64"/>
      </right>
      <top style="medium">
        <color theme="1"/>
      </top>
      <bottom style="medium">
        <color theme="1"/>
      </bottom>
      <diagonal/>
    </border>
    <border>
      <left/>
      <right style="medium">
        <color indexed="64"/>
      </right>
      <top style="medium">
        <color theme="1"/>
      </top>
      <bottom style="medium">
        <color theme="1"/>
      </bottom>
      <diagonal/>
    </border>
    <border>
      <left style="medium">
        <color indexed="64"/>
      </left>
      <right/>
      <top style="medium">
        <color theme="1"/>
      </top>
      <bottom style="medium">
        <color theme="1"/>
      </bottom>
      <diagonal/>
    </border>
    <border>
      <left style="medium">
        <color indexed="64"/>
      </left>
      <right style="thin">
        <color indexed="64"/>
      </right>
      <top style="medium">
        <color theme="1"/>
      </top>
      <bottom style="medium">
        <color theme="1"/>
      </bottom>
      <diagonal/>
    </border>
    <border>
      <left/>
      <right style="medium">
        <color theme="1"/>
      </right>
      <top style="medium">
        <color theme="1"/>
      </top>
      <bottom style="medium">
        <color theme="1"/>
      </bottom>
      <diagonal/>
    </border>
    <border>
      <left/>
      <right style="medium">
        <color theme="1"/>
      </right>
      <top/>
      <bottom style="medium">
        <color indexed="64"/>
      </bottom>
      <diagonal/>
    </border>
    <border>
      <left/>
      <right style="medium">
        <color theme="1"/>
      </right>
      <top style="thin">
        <color theme="0" tint="-0.34998626667073579"/>
      </top>
      <bottom style="thin">
        <color theme="0" tint="-0.34998626667073579"/>
      </bottom>
      <diagonal/>
    </border>
    <border>
      <left/>
      <right style="medium">
        <color theme="1"/>
      </right>
      <top style="medium">
        <color indexed="64"/>
      </top>
      <bottom style="medium">
        <color indexed="64"/>
      </bottom>
      <diagonal/>
    </border>
    <border>
      <left/>
      <right style="medium">
        <color theme="1"/>
      </right>
      <top/>
      <bottom style="thin">
        <color theme="0" tint="-0.34998626667073579"/>
      </bottom>
      <diagonal/>
    </border>
    <border>
      <left/>
      <right style="medium">
        <color theme="1"/>
      </right>
      <top style="thin">
        <color theme="0" tint="-0.34998626667073579"/>
      </top>
      <bottom/>
      <diagonal/>
    </border>
    <border>
      <left/>
      <right style="medium">
        <color theme="1"/>
      </right>
      <top/>
      <bottom style="medium">
        <color theme="1"/>
      </bottom>
      <diagonal/>
    </border>
    <border>
      <left style="thin">
        <color indexed="64"/>
      </left>
      <right/>
      <top/>
      <bottom style="thin">
        <color theme="0" tint="-0.34998626667073579"/>
      </bottom>
      <diagonal/>
    </border>
    <border>
      <left style="thin">
        <color indexed="64"/>
      </left>
      <right/>
      <top style="medium">
        <color theme="1"/>
      </top>
      <bottom style="medium">
        <color theme="1"/>
      </bottom>
      <diagonal/>
    </border>
    <border>
      <left style="medium">
        <color theme="1"/>
      </left>
      <right style="medium">
        <color theme="1"/>
      </right>
      <top style="medium">
        <color theme="1"/>
      </top>
      <bottom style="medium">
        <color indexed="64"/>
      </bottom>
      <diagonal/>
    </border>
    <border>
      <left style="medium">
        <color theme="1"/>
      </left>
      <right style="medium">
        <color theme="1"/>
      </right>
      <top style="medium">
        <color indexed="64"/>
      </top>
      <bottom style="medium">
        <color indexed="64"/>
      </bottom>
      <diagonal/>
    </border>
    <border>
      <left style="medium">
        <color theme="1"/>
      </left>
      <right style="medium">
        <color theme="1"/>
      </right>
      <top/>
      <bottom/>
      <diagonal/>
    </border>
    <border>
      <left style="medium">
        <color theme="1"/>
      </left>
      <right style="medium">
        <color theme="1"/>
      </right>
      <top style="thin">
        <color theme="0" tint="-0.34998626667073579"/>
      </top>
      <bottom/>
      <diagonal/>
    </border>
    <border>
      <left style="medium">
        <color theme="1"/>
      </left>
      <right style="medium">
        <color theme="1"/>
      </right>
      <top/>
      <bottom style="thin">
        <color theme="0" tint="-0.34998626667073579"/>
      </bottom>
      <diagonal/>
    </border>
    <border>
      <left style="medium">
        <color theme="1"/>
      </left>
      <right style="medium">
        <color theme="1"/>
      </right>
      <top style="thin">
        <color theme="0" tint="-0.34998626667073579"/>
      </top>
      <bottom style="thin">
        <color theme="0" tint="-0.34998626667073579"/>
      </bottom>
      <diagonal/>
    </border>
    <border>
      <left style="medium">
        <color theme="1"/>
      </left>
      <right style="medium">
        <color theme="1"/>
      </right>
      <top/>
      <bottom style="medium">
        <color theme="1"/>
      </bottom>
      <diagonal/>
    </border>
    <border>
      <left/>
      <right style="medium">
        <color theme="1"/>
      </right>
      <top style="medium">
        <color theme="1"/>
      </top>
      <bottom style="medium">
        <color indexed="64"/>
      </bottom>
      <diagonal/>
    </border>
    <border>
      <left style="medium">
        <color theme="1"/>
      </left>
      <right style="medium">
        <color theme="1"/>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style="hair">
        <color indexed="64"/>
      </top>
      <bottom style="hair">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s>
  <cellStyleXfs count="40">
    <xf numFmtId="0" fontId="0" fillId="0" borderId="0"/>
    <xf numFmtId="0" fontId="15" fillId="0" borderId="0"/>
    <xf numFmtId="0" fontId="16" fillId="0" borderId="0"/>
    <xf numFmtId="0" fontId="18" fillId="0" borderId="0"/>
    <xf numFmtId="0" fontId="4" fillId="5" borderId="0" applyNumberFormat="0" applyBorder="0" applyAlignment="0" applyProtection="0"/>
    <xf numFmtId="166" fontId="19" fillId="0" borderId="0" applyFont="0" applyFill="0" applyBorder="0" applyAlignment="0" applyProtection="0"/>
    <xf numFmtId="0" fontId="20" fillId="0" borderId="0"/>
    <xf numFmtId="165" fontId="20" fillId="0" borderId="0" applyFont="0" applyFill="0" applyBorder="0" applyAlignment="0" applyProtection="0"/>
    <xf numFmtId="9" fontId="20" fillId="0" borderId="0" applyFont="0" applyFill="0" applyBorder="0" applyAlignment="0" applyProtection="0"/>
    <xf numFmtId="0" fontId="21" fillId="0" borderId="0"/>
    <xf numFmtId="0" fontId="22" fillId="0" borderId="0"/>
    <xf numFmtId="0" fontId="23" fillId="0" borderId="0"/>
    <xf numFmtId="9" fontId="23" fillId="0" borderId="0" applyFont="0" applyFill="0" applyBorder="0" applyAlignment="0" applyProtection="0"/>
    <xf numFmtId="0" fontId="15" fillId="0" borderId="0"/>
    <xf numFmtId="9" fontId="16" fillId="0" borderId="0" applyFont="0" applyFill="0" applyBorder="0" applyAlignment="0" applyProtection="0"/>
    <xf numFmtId="165" fontId="16" fillId="0" borderId="0" applyFont="0" applyFill="0" applyBorder="0" applyAlignment="0" applyProtection="0"/>
    <xf numFmtId="0" fontId="16" fillId="0" borderId="0"/>
    <xf numFmtId="0" fontId="25" fillId="0" borderId="0"/>
    <xf numFmtId="165" fontId="25" fillId="0" borderId="0" applyFont="0" applyFill="0" applyBorder="0" applyAlignment="0" applyProtection="0"/>
    <xf numFmtId="9" fontId="25" fillId="0" borderId="0" applyFont="0" applyFill="0" applyBorder="0" applyAlignment="0" applyProtection="0"/>
    <xf numFmtId="0" fontId="16" fillId="0" borderId="0"/>
    <xf numFmtId="165" fontId="16" fillId="0" borderId="0" applyFont="0" applyFill="0" applyBorder="0" applyAlignment="0" applyProtection="0"/>
    <xf numFmtId="9" fontId="16" fillId="0" borderId="0" applyFont="0" applyFill="0" applyBorder="0" applyAlignment="0" applyProtection="0"/>
    <xf numFmtId="0" fontId="26" fillId="0" borderId="0"/>
    <xf numFmtId="44" fontId="19" fillId="0" borderId="0" applyFont="0" applyFill="0" applyBorder="0" applyAlignment="0" applyProtection="0"/>
    <xf numFmtId="0" fontId="27" fillId="9" borderId="0" applyNumberFormat="0" applyBorder="0" applyAlignment="0" applyProtection="0"/>
    <xf numFmtId="0" fontId="28" fillId="0" borderId="0"/>
    <xf numFmtId="165" fontId="28" fillId="0" borderId="0" applyFont="0" applyFill="0" applyBorder="0" applyAlignment="0" applyProtection="0"/>
    <xf numFmtId="9" fontId="28" fillId="0" borderId="0" applyFont="0" applyFill="0" applyBorder="0" applyAlignment="0" applyProtection="0"/>
    <xf numFmtId="0" fontId="30" fillId="0" borderId="0"/>
    <xf numFmtId="0" fontId="19" fillId="0" borderId="0"/>
    <xf numFmtId="0" fontId="33" fillId="0" borderId="0" applyNumberFormat="0" applyFill="0" applyBorder="0" applyAlignment="0" applyProtection="0"/>
    <xf numFmtId="0" fontId="30" fillId="0" borderId="0"/>
    <xf numFmtId="0" fontId="16" fillId="0" borderId="0"/>
    <xf numFmtId="9" fontId="16" fillId="0" borderId="0" applyFont="0" applyFill="0" applyBorder="0" applyAlignment="0" applyProtection="0"/>
    <xf numFmtId="9" fontId="19" fillId="0" borderId="0" applyFont="0" applyFill="0" applyBorder="0" applyAlignment="0" applyProtection="0"/>
    <xf numFmtId="0" fontId="19" fillId="0" borderId="0"/>
    <xf numFmtId="0" fontId="15" fillId="0" borderId="0"/>
    <xf numFmtId="44" fontId="19" fillId="0" borderId="0" applyFont="0" applyFill="0" applyBorder="0" applyAlignment="0" applyProtection="0"/>
    <xf numFmtId="165" fontId="16" fillId="0" borderId="0" applyFont="0" applyFill="0" applyBorder="0" applyAlignment="0" applyProtection="0"/>
  </cellStyleXfs>
  <cellXfs count="520">
    <xf numFmtId="0" fontId="0" fillId="0" borderId="0" xfId="0"/>
    <xf numFmtId="49" fontId="7" fillId="4" borderId="0" xfId="0" applyNumberFormat="1" applyFont="1" applyFill="1"/>
    <xf numFmtId="167" fontId="6" fillId="4" borderId="0" xfId="0" applyNumberFormat="1" applyFont="1" applyFill="1"/>
    <xf numFmtId="0" fontId="8" fillId="4" borderId="0" xfId="0" applyFont="1" applyFill="1" applyAlignment="1">
      <alignment vertical="center"/>
    </xf>
    <xf numFmtId="0" fontId="0" fillId="4" borderId="0" xfId="0" applyFill="1"/>
    <xf numFmtId="42" fontId="0" fillId="4" borderId="0" xfId="0" applyNumberFormat="1" applyFill="1" applyAlignment="1">
      <alignment horizontal="center"/>
    </xf>
    <xf numFmtId="0" fontId="3" fillId="4" borderId="0" xfId="0" applyFont="1" applyFill="1"/>
    <xf numFmtId="0" fontId="5" fillId="4" borderId="0" xfId="0" applyFont="1" applyFill="1"/>
    <xf numFmtId="49" fontId="5" fillId="4" borderId="0" xfId="0" applyNumberFormat="1" applyFont="1" applyFill="1" applyAlignment="1">
      <alignment horizontal="left"/>
    </xf>
    <xf numFmtId="0" fontId="0" fillId="4" borderId="0" xfId="0" applyFill="1" applyAlignment="1">
      <alignment horizontal="center" vertical="center"/>
    </xf>
    <xf numFmtId="0" fontId="7" fillId="4" borderId="0" xfId="0" applyFont="1" applyFill="1"/>
    <xf numFmtId="0" fontId="9" fillId="4" borderId="0" xfId="0" applyFont="1" applyFill="1" applyAlignment="1">
      <alignment vertical="center"/>
    </xf>
    <xf numFmtId="0" fontId="3" fillId="4" borderId="0" xfId="0" applyFont="1" applyFill="1" applyAlignment="1">
      <alignment vertical="center"/>
    </xf>
    <xf numFmtId="0" fontId="34" fillId="4" borderId="0" xfId="20" applyFont="1" applyFill="1"/>
    <xf numFmtId="0" fontId="35" fillId="4" borderId="0" xfId="20" applyFont="1" applyFill="1"/>
    <xf numFmtId="0" fontId="16" fillId="4" borderId="0" xfId="20" applyFill="1"/>
    <xf numFmtId="0" fontId="17" fillId="4" borderId="0" xfId="20" applyFont="1" applyFill="1"/>
    <xf numFmtId="0" fontId="37" fillId="4" borderId="0" xfId="31" applyFont="1" applyFill="1"/>
    <xf numFmtId="0" fontId="38" fillId="10" borderId="15" xfId="4" applyFont="1" applyFill="1" applyBorder="1" applyAlignment="1">
      <alignment horizontal="center" vertical="center" wrapText="1"/>
    </xf>
    <xf numFmtId="0" fontId="16" fillId="4" borderId="0" xfId="20" applyFill="1" applyAlignment="1">
      <alignment horizontal="center"/>
    </xf>
    <xf numFmtId="169" fontId="16" fillId="4" borderId="0" xfId="20" applyNumberFormat="1" applyFill="1" applyAlignment="1">
      <alignment horizontal="center"/>
    </xf>
    <xf numFmtId="0" fontId="16" fillId="4" borderId="0" xfId="26" applyFont="1" applyFill="1"/>
    <xf numFmtId="0" fontId="16" fillId="4" borderId="0" xfId="26" applyFont="1" applyFill="1" applyAlignment="1">
      <alignment horizontal="center"/>
    </xf>
    <xf numFmtId="169" fontId="16" fillId="4" borderId="0" xfId="26" applyNumberFormat="1" applyFont="1" applyFill="1" applyAlignment="1">
      <alignment horizontal="center"/>
    </xf>
    <xf numFmtId="8" fontId="16" fillId="4" borderId="0" xfId="26" applyNumberFormat="1" applyFont="1" applyFill="1" applyAlignment="1">
      <alignment horizontal="center"/>
    </xf>
    <xf numFmtId="165" fontId="16" fillId="4" borderId="0" xfId="26" applyNumberFormat="1" applyFont="1" applyFill="1" applyAlignment="1">
      <alignment horizontal="center"/>
    </xf>
    <xf numFmtId="165" fontId="39" fillId="4" borderId="0" xfId="27" applyFont="1" applyFill="1" applyBorder="1" applyAlignment="1">
      <alignment horizontal="center"/>
    </xf>
    <xf numFmtId="0" fontId="40" fillId="4" borderId="0" xfId="25" applyFont="1" applyFill="1" applyBorder="1" applyAlignment="1">
      <alignment horizontal="center"/>
    </xf>
    <xf numFmtId="0" fontId="41" fillId="4" borderId="0" xfId="0" applyFont="1" applyFill="1" applyAlignment="1">
      <alignment vertical="center"/>
    </xf>
    <xf numFmtId="42" fontId="12" fillId="2" borderId="20" xfId="0" applyNumberFormat="1" applyFont="1" applyFill="1" applyBorder="1" applyAlignment="1">
      <alignment horizontal="center" vertical="center"/>
    </xf>
    <xf numFmtId="42" fontId="0" fillId="4" borderId="0" xfId="0" applyNumberFormat="1" applyFill="1" applyAlignment="1">
      <alignment horizontal="left" vertical="center"/>
    </xf>
    <xf numFmtId="44" fontId="16" fillId="4" borderId="0" xfId="26" applyNumberFormat="1" applyFont="1" applyFill="1" applyAlignment="1">
      <alignment horizontal="center"/>
    </xf>
    <xf numFmtId="44" fontId="16" fillId="4" borderId="0" xfId="24" applyFont="1" applyFill="1" applyAlignment="1">
      <alignment horizontal="center"/>
    </xf>
    <xf numFmtId="8" fontId="17" fillId="4" borderId="0" xfId="26" applyNumberFormat="1" applyFont="1" applyFill="1"/>
    <xf numFmtId="170" fontId="17" fillId="4" borderId="0" xfId="26" applyNumberFormat="1" applyFont="1" applyFill="1"/>
    <xf numFmtId="164" fontId="32" fillId="4" borderId="0" xfId="0" applyNumberFormat="1" applyFont="1" applyFill="1"/>
    <xf numFmtId="0" fontId="32" fillId="4" borderId="0" xfId="0" applyFont="1" applyFill="1"/>
    <xf numFmtId="8" fontId="16" fillId="4" borderId="0" xfId="20" applyNumberFormat="1" applyFill="1"/>
    <xf numFmtId="0" fontId="24" fillId="4" borderId="34" xfId="0" applyFont="1" applyFill="1" applyBorder="1" applyAlignment="1">
      <alignment horizontal="center" vertical="center" wrapText="1"/>
    </xf>
    <xf numFmtId="168" fontId="24" fillId="0" borderId="0" xfId="0" applyNumberFormat="1" applyFont="1" applyAlignment="1">
      <alignment horizontal="center" vertical="center"/>
    </xf>
    <xf numFmtId="0" fontId="0" fillId="7" borderId="1" xfId="0" applyFill="1" applyBorder="1" applyAlignment="1">
      <alignment horizontal="left" vertical="center"/>
    </xf>
    <xf numFmtId="42" fontId="11" fillId="2" borderId="26" xfId="0" applyNumberFormat="1" applyFont="1" applyFill="1" applyBorder="1" applyAlignment="1">
      <alignment vertical="center"/>
    </xf>
    <xf numFmtId="0" fontId="3" fillId="0" borderId="10" xfId="0" applyFont="1" applyBorder="1" applyAlignment="1">
      <alignment horizontal="left" vertical="center" wrapText="1"/>
    </xf>
    <xf numFmtId="0" fontId="49" fillId="0" borderId="11" xfId="0" applyFont="1" applyBorder="1" applyAlignment="1">
      <alignment horizontal="left" vertical="center" wrapText="1"/>
    </xf>
    <xf numFmtId="0" fontId="3" fillId="0" borderId="21" xfId="0" applyFont="1" applyBorder="1" applyAlignment="1">
      <alignment horizontal="left" vertical="center" wrapText="1"/>
    </xf>
    <xf numFmtId="0" fontId="49" fillId="0" borderId="12" xfId="0" applyFont="1" applyBorder="1" applyAlignment="1">
      <alignment horizontal="left" vertical="center" wrapText="1"/>
    </xf>
    <xf numFmtId="0" fontId="3" fillId="0" borderId="11" xfId="0" applyFont="1" applyBorder="1" applyAlignment="1">
      <alignment horizontal="left" vertical="center" wrapText="1"/>
    </xf>
    <xf numFmtId="0" fontId="3" fillId="3" borderId="1" xfId="0" applyFont="1" applyFill="1" applyBorder="1" applyAlignment="1">
      <alignment horizontal="left" vertical="center"/>
    </xf>
    <xf numFmtId="42" fontId="3" fillId="3" borderId="2" xfId="0" applyNumberFormat="1" applyFont="1" applyFill="1" applyBorder="1" applyAlignment="1">
      <alignment horizontal="center" vertical="center"/>
    </xf>
    <xf numFmtId="1" fontId="4" fillId="4" borderId="0" xfId="0" applyNumberFormat="1" applyFont="1" applyFill="1" applyAlignment="1">
      <alignment horizontal="center"/>
    </xf>
    <xf numFmtId="167" fontId="0" fillId="0" borderId="14" xfId="0" applyNumberFormat="1" applyBorder="1" applyAlignment="1">
      <alignment horizontal="left" vertical="center"/>
    </xf>
    <xf numFmtId="167" fontId="0" fillId="0" borderId="9" xfId="0" applyNumberFormat="1" applyBorder="1" applyAlignment="1">
      <alignment horizontal="left" vertical="center"/>
    </xf>
    <xf numFmtId="167" fontId="44" fillId="0" borderId="18" xfId="0" applyNumberFormat="1" applyFont="1" applyBorder="1" applyAlignment="1">
      <alignment horizontal="left" vertical="center"/>
    </xf>
    <xf numFmtId="44" fontId="0" fillId="4" borderId="0" xfId="0" applyNumberFormat="1" applyFill="1" applyAlignment="1">
      <alignment horizontal="left" vertical="center"/>
    </xf>
    <xf numFmtId="0" fontId="3" fillId="4" borderId="0" xfId="0" applyFont="1" applyFill="1" applyAlignment="1">
      <alignment horizontal="left" vertical="center" wrapText="1"/>
    </xf>
    <xf numFmtId="0" fontId="46" fillId="4" borderId="0" xfId="0" applyFont="1" applyFill="1" applyAlignment="1">
      <alignment horizontal="left" vertical="center"/>
    </xf>
    <xf numFmtId="0" fontId="0" fillId="4" borderId="0" xfId="0" applyFill="1" applyAlignment="1">
      <alignment horizontal="left" vertical="center"/>
    </xf>
    <xf numFmtId="167" fontId="0" fillId="4" borderId="0" xfId="0" applyNumberFormat="1" applyFill="1" applyAlignment="1">
      <alignment horizontal="left" vertical="center"/>
    </xf>
    <xf numFmtId="0" fontId="52" fillId="4" borderId="0" xfId="0" applyFont="1" applyFill="1" applyAlignment="1">
      <alignment horizontal="left" wrapText="1"/>
    </xf>
    <xf numFmtId="0" fontId="53" fillId="4" borderId="15" xfId="26" applyFont="1" applyFill="1" applyBorder="1"/>
    <xf numFmtId="0" fontId="54" fillId="4" borderId="15" xfId="26" applyFont="1" applyFill="1" applyBorder="1"/>
    <xf numFmtId="0" fontId="54" fillId="4" borderId="15" xfId="26" applyFont="1" applyFill="1" applyBorder="1" applyAlignment="1">
      <alignment horizontal="left" indent="1"/>
    </xf>
    <xf numFmtId="44" fontId="0" fillId="4" borderId="21" xfId="0" applyNumberFormat="1" applyFill="1" applyBorder="1" applyAlignment="1">
      <alignment vertical="center"/>
    </xf>
    <xf numFmtId="42" fontId="12" fillId="2" borderId="37" xfId="0" applyNumberFormat="1" applyFont="1" applyFill="1" applyBorder="1" applyAlignment="1">
      <alignment horizontal="center" vertical="center"/>
    </xf>
    <xf numFmtId="0" fontId="42" fillId="2" borderId="28" xfId="0" applyFont="1" applyFill="1" applyBorder="1" applyAlignment="1">
      <alignment vertical="center" wrapText="1"/>
    </xf>
    <xf numFmtId="42" fontId="10" fillId="4" borderId="0" xfId="0" applyNumberFormat="1" applyFont="1" applyFill="1" applyAlignment="1">
      <alignment vertical="center"/>
    </xf>
    <xf numFmtId="167" fontId="0" fillId="4" borderId="0" xfId="0" quotePrefix="1" applyNumberFormat="1" applyFill="1" applyAlignment="1">
      <alignment horizontal="right" vertical="center"/>
    </xf>
    <xf numFmtId="42" fontId="0" fillId="4" borderId="0" xfId="0" applyNumberFormat="1" applyFill="1" applyAlignment="1">
      <alignment horizontal="right" vertical="center"/>
    </xf>
    <xf numFmtId="10" fontId="45" fillId="4" borderId="0" xfId="0" applyNumberFormat="1" applyFont="1" applyFill="1" applyAlignment="1">
      <alignment horizontal="center" vertical="center"/>
    </xf>
    <xf numFmtId="0" fontId="0" fillId="4" borderId="14" xfId="0" applyFill="1" applyBorder="1" applyAlignment="1">
      <alignment horizontal="left" vertical="center"/>
    </xf>
    <xf numFmtId="0" fontId="0" fillId="7" borderId="1" xfId="0" applyFill="1" applyBorder="1" applyAlignment="1">
      <alignment horizontal="left" vertical="center" indent="2"/>
    </xf>
    <xf numFmtId="3" fontId="0" fillId="0" borderId="21" xfId="0" applyNumberFormat="1" applyBorder="1" applyAlignment="1">
      <alignment horizontal="center" vertical="center"/>
    </xf>
    <xf numFmtId="3" fontId="24" fillId="0" borderId="21" xfId="0" applyNumberFormat="1" applyFont="1" applyBorder="1" applyAlignment="1">
      <alignment horizontal="center" vertical="center"/>
    </xf>
    <xf numFmtId="168" fontId="24" fillId="0" borderId="33" xfId="0" applyNumberFormat="1" applyFont="1" applyBorder="1" applyAlignment="1">
      <alignment horizontal="center" vertical="center"/>
    </xf>
    <xf numFmtId="167" fontId="16" fillId="4" borderId="15" xfId="26" applyNumberFormat="1" applyFont="1" applyFill="1" applyBorder="1"/>
    <xf numFmtId="0" fontId="16" fillId="4" borderId="15" xfId="26" applyFont="1" applyFill="1" applyBorder="1"/>
    <xf numFmtId="167" fontId="16" fillId="4" borderId="15" xfId="27" applyNumberFormat="1" applyFont="1" applyFill="1" applyBorder="1"/>
    <xf numFmtId="172" fontId="53" fillId="4" borderId="15" xfId="26" applyNumberFormat="1" applyFont="1" applyFill="1" applyBorder="1"/>
    <xf numFmtId="171" fontId="0" fillId="0" borderId="7" xfId="0" applyNumberFormat="1" applyBorder="1" applyAlignment="1">
      <alignment horizontal="center" vertical="center"/>
    </xf>
    <xf numFmtId="168" fontId="0" fillId="4" borderId="0" xfId="0" applyNumberFormat="1" applyFill="1" applyAlignment="1">
      <alignment horizontal="center" vertical="center"/>
    </xf>
    <xf numFmtId="171" fontId="3" fillId="3" borderId="21" xfId="0" applyNumberFormat="1" applyFont="1" applyFill="1" applyBorder="1" applyAlignment="1">
      <alignment horizontal="center" vertical="center"/>
    </xf>
    <xf numFmtId="0" fontId="3" fillId="14" borderId="5" xfId="0" applyFont="1" applyFill="1" applyBorder="1" applyAlignment="1">
      <alignment horizontal="center" vertical="center" wrapText="1"/>
    </xf>
    <xf numFmtId="0" fontId="3" fillId="14" borderId="12" xfId="0" applyFont="1" applyFill="1" applyBorder="1" applyAlignment="1">
      <alignment horizontal="center" vertical="center" wrapText="1"/>
    </xf>
    <xf numFmtId="0" fontId="57" fillId="14" borderId="10" xfId="0" applyFont="1" applyFill="1" applyBorder="1" applyAlignment="1">
      <alignment horizontal="center"/>
    </xf>
    <xf numFmtId="0" fontId="16" fillId="4" borderId="0" xfId="33" applyFill="1" applyAlignment="1">
      <alignment horizontal="left" indent="1"/>
    </xf>
    <xf numFmtId="171" fontId="24" fillId="0" borderId="30" xfId="0" applyNumberFormat="1" applyFont="1" applyBorder="1" applyAlignment="1">
      <alignment horizontal="center" vertical="center"/>
    </xf>
    <xf numFmtId="171" fontId="24" fillId="0" borderId="32" xfId="0" applyNumberFormat="1" applyFont="1" applyBorder="1" applyAlignment="1">
      <alignment horizontal="center" vertical="center"/>
    </xf>
    <xf numFmtId="171" fontId="24" fillId="0" borderId="29" xfId="0" applyNumberFormat="1" applyFont="1" applyBorder="1" applyAlignment="1">
      <alignment horizontal="center" vertical="center"/>
    </xf>
    <xf numFmtId="171" fontId="24" fillId="0" borderId="4" xfId="0" applyNumberFormat="1" applyFont="1" applyBorder="1" applyAlignment="1">
      <alignment horizontal="center" vertical="center"/>
    </xf>
    <xf numFmtId="171" fontId="24" fillId="0" borderId="36" xfId="0" applyNumberFormat="1" applyFont="1" applyBorder="1" applyAlignment="1">
      <alignment horizontal="center" vertical="center"/>
    </xf>
    <xf numFmtId="171" fontId="24" fillId="0" borderId="35" xfId="0" applyNumberFormat="1" applyFont="1" applyBorder="1" applyAlignment="1">
      <alignment horizontal="center" vertical="center"/>
    </xf>
    <xf numFmtId="171" fontId="24" fillId="0" borderId="34" xfId="0" applyNumberFormat="1" applyFont="1" applyBorder="1" applyAlignment="1">
      <alignment horizontal="center" vertical="center"/>
    </xf>
    <xf numFmtId="171" fontId="24" fillId="0" borderId="33" xfId="0" applyNumberFormat="1" applyFont="1" applyBorder="1" applyAlignment="1">
      <alignment horizontal="center" vertical="center"/>
    </xf>
    <xf numFmtId="171" fontId="0" fillId="0" borderId="21" xfId="0" applyNumberFormat="1" applyBorder="1" applyAlignment="1">
      <alignment horizontal="center" vertical="center"/>
    </xf>
    <xf numFmtId="171" fontId="3" fillId="3" borderId="1" xfId="0" applyNumberFormat="1" applyFont="1" applyFill="1" applyBorder="1" applyAlignment="1">
      <alignment horizontal="center" vertical="center"/>
    </xf>
    <xf numFmtId="42" fontId="11" fillId="2" borderId="19" xfId="0" applyNumberFormat="1" applyFont="1" applyFill="1" applyBorder="1" applyAlignment="1">
      <alignment vertical="center"/>
    </xf>
    <xf numFmtId="42" fontId="11" fillId="2" borderId="21" xfId="0" applyNumberFormat="1" applyFont="1" applyFill="1" applyBorder="1" applyAlignment="1">
      <alignment vertical="center"/>
    </xf>
    <xf numFmtId="42" fontId="11" fillId="2" borderId="14" xfId="0" applyNumberFormat="1" applyFont="1" applyFill="1" applyBorder="1" applyAlignment="1">
      <alignment vertical="center"/>
    </xf>
    <xf numFmtId="0" fontId="3" fillId="3" borderId="14" xfId="0" applyFont="1" applyFill="1" applyBorder="1" applyAlignment="1">
      <alignment horizontal="center" vertical="center"/>
    </xf>
    <xf numFmtId="42" fontId="3" fillId="3" borderId="14" xfId="0" applyNumberFormat="1" applyFont="1" applyFill="1" applyBorder="1" applyAlignment="1">
      <alignment horizontal="center" vertical="center"/>
    </xf>
    <xf numFmtId="167" fontId="0" fillId="0" borderId="0" xfId="0" applyNumberFormat="1" applyAlignment="1">
      <alignment horizontal="left" vertical="center"/>
    </xf>
    <xf numFmtId="167" fontId="44" fillId="0" borderId="0" xfId="0" applyNumberFormat="1" applyFont="1" applyAlignment="1">
      <alignment horizontal="left" vertical="center"/>
    </xf>
    <xf numFmtId="0" fontId="1" fillId="2" borderId="5" xfId="0" applyFont="1" applyFill="1" applyBorder="1" applyAlignment="1">
      <alignment vertical="center"/>
    </xf>
    <xf numFmtId="0" fontId="14" fillId="2" borderId="18" xfId="0" applyFont="1" applyFill="1" applyBorder="1" applyAlignment="1">
      <alignment vertical="center"/>
    </xf>
    <xf numFmtId="42" fontId="1" fillId="2" borderId="6" xfId="0" applyNumberFormat="1" applyFont="1" applyFill="1" applyBorder="1" applyAlignment="1">
      <alignment horizontal="right" vertical="center"/>
    </xf>
    <xf numFmtId="42" fontId="31" fillId="2" borderId="5" xfId="0" applyNumberFormat="1" applyFont="1" applyFill="1" applyBorder="1" applyAlignment="1">
      <alignment horizontal="left" vertical="center"/>
    </xf>
    <xf numFmtId="42" fontId="31" fillId="2" borderId="64" xfId="0" applyNumberFormat="1" applyFont="1" applyFill="1" applyBorder="1" applyAlignment="1">
      <alignment horizontal="left" vertical="center"/>
    </xf>
    <xf numFmtId="167" fontId="5" fillId="11" borderId="12" xfId="0" applyNumberFormat="1" applyFont="1" applyFill="1" applyBorder="1" applyAlignment="1">
      <alignment horizontal="left" vertical="center"/>
    </xf>
    <xf numFmtId="42" fontId="3" fillId="2" borderId="5" xfId="0" applyNumberFormat="1" applyFont="1" applyFill="1" applyBorder="1" applyAlignment="1">
      <alignment horizontal="left" vertical="center"/>
    </xf>
    <xf numFmtId="42" fontId="3" fillId="4" borderId="65" xfId="0" applyNumberFormat="1" applyFont="1" applyFill="1" applyBorder="1" applyAlignment="1">
      <alignment vertical="center"/>
    </xf>
    <xf numFmtId="42" fontId="3" fillId="4" borderId="58" xfId="0" applyNumberFormat="1" applyFont="1" applyFill="1" applyBorder="1" applyAlignment="1">
      <alignment horizontal="center" vertical="center" wrapText="1"/>
    </xf>
    <xf numFmtId="42" fontId="3" fillId="4" borderId="58" xfId="0" applyNumberFormat="1" applyFont="1" applyFill="1" applyBorder="1" applyAlignment="1">
      <alignment horizontal="center" vertical="center"/>
    </xf>
    <xf numFmtId="0" fontId="48" fillId="4" borderId="58" xfId="0" applyFont="1" applyFill="1" applyBorder="1" applyAlignment="1">
      <alignment horizontal="center" vertical="center" wrapText="1"/>
    </xf>
    <xf numFmtId="42" fontId="48" fillId="11" borderId="58" xfId="0" applyNumberFormat="1" applyFont="1" applyFill="1" applyBorder="1" applyAlignment="1">
      <alignment horizontal="center" vertical="center" wrapText="1"/>
    </xf>
    <xf numFmtId="0" fontId="56" fillId="4" borderId="67" xfId="0" applyFont="1" applyFill="1" applyBorder="1" applyAlignment="1">
      <alignment horizontal="center" vertical="center" wrapText="1"/>
    </xf>
    <xf numFmtId="0" fontId="42" fillId="2" borderId="68" xfId="0" applyFont="1" applyFill="1" applyBorder="1" applyAlignment="1">
      <alignment vertical="center"/>
    </xf>
    <xf numFmtId="42" fontId="11" fillId="2" borderId="69" xfId="0" applyNumberFormat="1" applyFont="1" applyFill="1" applyBorder="1" applyAlignment="1">
      <alignment vertical="center"/>
    </xf>
    <xf numFmtId="167" fontId="16" fillId="4" borderId="0" xfId="27" applyNumberFormat="1" applyFont="1" applyFill="1" applyBorder="1"/>
    <xf numFmtId="0" fontId="54" fillId="4" borderId="0" xfId="26" applyFont="1" applyFill="1"/>
    <xf numFmtId="0" fontId="57" fillId="8" borderId="10" xfId="0" applyFont="1" applyFill="1" applyBorder="1" applyAlignment="1">
      <alignment horizontal="center"/>
    </xf>
    <xf numFmtId="42" fontId="5" fillId="11" borderId="102" xfId="0" applyNumberFormat="1" applyFont="1" applyFill="1" applyBorder="1" applyAlignment="1">
      <alignment horizontal="left" vertical="center"/>
    </xf>
    <xf numFmtId="42" fontId="3" fillId="2" borderId="102" xfId="0" applyNumberFormat="1" applyFont="1" applyFill="1" applyBorder="1" applyAlignment="1">
      <alignment horizontal="left" vertical="center"/>
    </xf>
    <xf numFmtId="42" fontId="11" fillId="2" borderId="104" xfId="0" applyNumberFormat="1" applyFont="1" applyFill="1" applyBorder="1" applyAlignment="1">
      <alignment vertical="center"/>
    </xf>
    <xf numFmtId="0" fontId="58" fillId="14" borderId="7" xfId="0" applyFont="1" applyFill="1" applyBorder="1" applyAlignment="1">
      <alignment horizontal="center" vertical="center" wrapText="1"/>
    </xf>
    <xf numFmtId="0" fontId="56" fillId="4" borderId="110" xfId="0" applyFont="1" applyFill="1" applyBorder="1" applyAlignment="1">
      <alignment horizontal="center" vertical="center" wrapText="1"/>
    </xf>
    <xf numFmtId="42" fontId="11" fillId="2" borderId="111" xfId="0" applyNumberFormat="1" applyFont="1" applyFill="1" applyBorder="1" applyAlignment="1">
      <alignment vertical="center"/>
    </xf>
    <xf numFmtId="42" fontId="3" fillId="2" borderId="116" xfId="0" applyNumberFormat="1" applyFont="1" applyFill="1" applyBorder="1" applyAlignment="1">
      <alignment horizontal="left" vertical="center"/>
    </xf>
    <xf numFmtId="0" fontId="55" fillId="0" borderId="117" xfId="0" applyFont="1" applyBorder="1" applyAlignment="1">
      <alignment horizontal="center" vertical="center" wrapText="1"/>
    </xf>
    <xf numFmtId="0" fontId="55" fillId="0" borderId="110" xfId="0" applyFont="1" applyBorder="1" applyAlignment="1">
      <alignment horizontal="center" vertical="center" wrapText="1"/>
    </xf>
    <xf numFmtId="42" fontId="11" fillId="2" borderId="118" xfId="0" applyNumberFormat="1" applyFont="1" applyFill="1" applyBorder="1" applyAlignment="1">
      <alignment vertical="center"/>
    </xf>
    <xf numFmtId="42" fontId="5" fillId="11" borderId="116" xfId="0" applyNumberFormat="1" applyFont="1" applyFill="1" applyBorder="1" applyAlignment="1">
      <alignment horizontal="left" vertical="center"/>
    </xf>
    <xf numFmtId="0" fontId="48" fillId="4" borderId="66" xfId="0" applyFont="1" applyFill="1" applyBorder="1" applyAlignment="1">
      <alignment horizontal="center" vertical="center" wrapText="1"/>
    </xf>
    <xf numFmtId="171" fontId="4" fillId="4" borderId="0" xfId="0" applyNumberFormat="1" applyFont="1" applyFill="1"/>
    <xf numFmtId="0" fontId="18" fillId="4" borderId="15" xfId="26" applyFont="1" applyFill="1" applyBorder="1" applyAlignment="1">
      <alignment horizontal="left" indent="1"/>
    </xf>
    <xf numFmtId="44" fontId="16" fillId="4" borderId="123" xfId="26" applyNumberFormat="1" applyFont="1" applyFill="1" applyBorder="1"/>
    <xf numFmtId="44" fontId="16" fillId="4" borderId="123" xfId="20" applyNumberFormat="1" applyFill="1" applyBorder="1"/>
    <xf numFmtId="44" fontId="16" fillId="4" borderId="123" xfId="24" applyFont="1" applyFill="1" applyBorder="1"/>
    <xf numFmtId="0" fontId="0" fillId="4" borderId="0" xfId="0" applyFill="1" applyAlignment="1">
      <alignment horizontal="left" vertical="center" wrapText="1"/>
    </xf>
    <xf numFmtId="0" fontId="0" fillId="4" borderId="11" xfId="0" applyFill="1" applyBorder="1" applyAlignment="1">
      <alignment horizontal="left" vertical="center"/>
    </xf>
    <xf numFmtId="0" fontId="3" fillId="4" borderId="10" xfId="0" applyFont="1" applyFill="1" applyBorder="1" applyAlignment="1">
      <alignment horizontal="left" vertical="center"/>
    </xf>
    <xf numFmtId="0" fontId="55" fillId="4" borderId="3" xfId="0" applyFont="1" applyFill="1" applyBorder="1" applyAlignment="1">
      <alignment horizontal="left" vertical="center"/>
    </xf>
    <xf numFmtId="0" fontId="55" fillId="4" borderId="49" xfId="0" applyFont="1" applyFill="1" applyBorder="1" applyAlignment="1">
      <alignment horizontal="left" vertical="center"/>
    </xf>
    <xf numFmtId="0" fontId="3" fillId="4" borderId="3" xfId="0" applyFont="1" applyFill="1" applyBorder="1" applyAlignment="1">
      <alignment horizontal="left" vertical="center"/>
    </xf>
    <xf numFmtId="0" fontId="55" fillId="4" borderId="11" xfId="0" applyFont="1" applyFill="1" applyBorder="1" applyAlignment="1">
      <alignment horizontal="left" vertical="center"/>
    </xf>
    <xf numFmtId="0" fontId="0" fillId="4" borderId="29" xfId="0" applyFill="1" applyBorder="1" applyAlignment="1">
      <alignment horizontal="left" vertical="center" wrapText="1"/>
    </xf>
    <xf numFmtId="0" fontId="0" fillId="4" borderId="35" xfId="0" applyFill="1" applyBorder="1" applyAlignment="1">
      <alignment horizontal="left" vertical="center" wrapText="1"/>
    </xf>
    <xf numFmtId="0" fontId="0" fillId="4" borderId="34" xfId="0" applyFill="1" applyBorder="1" applyAlignment="1">
      <alignment horizontal="left" vertical="center" wrapText="1"/>
    </xf>
    <xf numFmtId="0" fontId="24" fillId="0" borderId="29" xfId="0" applyFont="1" applyBorder="1" applyAlignment="1">
      <alignment horizontal="left" vertical="center" wrapText="1"/>
    </xf>
    <xf numFmtId="0" fontId="24" fillId="0" borderId="49" xfId="0" applyFont="1" applyBorder="1" applyAlignment="1">
      <alignment horizontal="left" vertical="center" wrapText="1"/>
    </xf>
    <xf numFmtId="0" fontId="5" fillId="0" borderId="49" xfId="0" applyFont="1" applyBorder="1" applyAlignment="1">
      <alignment horizontal="left" vertical="center" wrapText="1"/>
    </xf>
    <xf numFmtId="0" fontId="24" fillId="0" borderId="12" xfId="0" applyFont="1" applyBorder="1" applyAlignment="1">
      <alignment horizontal="left" vertical="center" wrapText="1"/>
    </xf>
    <xf numFmtId="0" fontId="0" fillId="4" borderId="1" xfId="0" applyFill="1" applyBorder="1" applyAlignment="1">
      <alignment horizontal="left" vertical="center"/>
    </xf>
    <xf numFmtId="171" fontId="0" fillId="4" borderId="21" xfId="0" applyNumberFormat="1" applyFill="1" applyBorder="1" applyAlignment="1">
      <alignment horizontal="center" vertical="center"/>
    </xf>
    <xf numFmtId="171" fontId="0" fillId="4" borderId="1" xfId="0" applyNumberFormat="1" applyFill="1" applyBorder="1" applyAlignment="1">
      <alignment horizontal="center" vertical="center"/>
    </xf>
    <xf numFmtId="0" fontId="59" fillId="4" borderId="0" xfId="0" applyFont="1" applyFill="1" applyAlignment="1">
      <alignment wrapText="1"/>
    </xf>
    <xf numFmtId="0" fontId="1" fillId="15" borderId="0" xfId="0" applyFont="1" applyFill="1" applyAlignment="1">
      <alignment horizontal="left" vertical="top" wrapText="1"/>
    </xf>
    <xf numFmtId="0" fontId="3" fillId="0" borderId="0" xfId="0" applyFont="1" applyAlignment="1">
      <alignment horizontal="left" vertical="top" wrapText="1" indent="1"/>
    </xf>
    <xf numFmtId="0" fontId="3" fillId="0" borderId="0" xfId="0" applyFont="1" applyAlignment="1">
      <alignment horizontal="left" vertical="top" wrapText="1"/>
    </xf>
    <xf numFmtId="0" fontId="1" fillId="16" borderId="0" xfId="0" applyFont="1" applyFill="1" applyAlignment="1">
      <alignment horizontal="left" vertical="top" wrapText="1"/>
    </xf>
    <xf numFmtId="173" fontId="65" fillId="4" borderId="0" xfId="26" applyNumberFormat="1" applyFont="1" applyFill="1"/>
    <xf numFmtId="173" fontId="66" fillId="4" borderId="0" xfId="26" applyNumberFormat="1" applyFont="1" applyFill="1"/>
    <xf numFmtId="0" fontId="65" fillId="4" borderId="15" xfId="26" applyFont="1" applyFill="1" applyBorder="1"/>
    <xf numFmtId="0" fontId="66" fillId="4" borderId="15" xfId="26" applyFont="1" applyFill="1" applyBorder="1"/>
    <xf numFmtId="10" fontId="65" fillId="4" borderId="15" xfId="28" applyNumberFormat="1" applyFont="1" applyFill="1" applyBorder="1"/>
    <xf numFmtId="10" fontId="66" fillId="4" borderId="15" xfId="28" applyNumberFormat="1" applyFont="1" applyFill="1" applyBorder="1"/>
    <xf numFmtId="167" fontId="16" fillId="4" borderId="15" xfId="24" applyNumberFormat="1" applyFont="1" applyFill="1" applyBorder="1"/>
    <xf numFmtId="0" fontId="55" fillId="4" borderId="0" xfId="0" applyFont="1" applyFill="1"/>
    <xf numFmtId="0" fontId="0" fillId="4" borderId="0" xfId="0" applyFill="1" applyAlignment="1">
      <alignment wrapText="1"/>
    </xf>
    <xf numFmtId="0" fontId="0" fillId="4" borderId="0" xfId="0" applyFill="1" applyAlignment="1">
      <alignment horizontal="left" wrapText="1" indent="1"/>
    </xf>
    <xf numFmtId="0" fontId="0" fillId="0" borderId="0" xfId="0" applyAlignment="1">
      <alignment horizontal="left" vertical="top" wrapText="1" indent="1"/>
    </xf>
    <xf numFmtId="0" fontId="0" fillId="0" borderId="0" xfId="0" applyAlignment="1">
      <alignment horizontal="left" vertical="top" wrapText="1"/>
    </xf>
    <xf numFmtId="0" fontId="67" fillId="4" borderId="0" xfId="0" applyFont="1" applyFill="1"/>
    <xf numFmtId="0" fontId="60" fillId="4" borderId="124" xfId="0" applyFont="1" applyFill="1" applyBorder="1" applyAlignment="1">
      <alignment horizontal="left" vertical="top" wrapText="1"/>
    </xf>
    <xf numFmtId="0" fontId="36" fillId="4" borderId="0" xfId="20" applyFont="1" applyFill="1" applyAlignment="1">
      <alignment horizontal="right" indent="2"/>
    </xf>
    <xf numFmtId="0" fontId="69" fillId="4" borderId="0" xfId="20" applyFont="1" applyFill="1" applyAlignment="1">
      <alignment horizontal="right" indent="2"/>
    </xf>
    <xf numFmtId="42" fontId="70" fillId="4" borderId="59" xfId="0" applyNumberFormat="1" applyFont="1" applyFill="1" applyBorder="1" applyAlignment="1">
      <alignment vertical="center"/>
    </xf>
    <xf numFmtId="0" fontId="3" fillId="4" borderId="88" xfId="0" applyFont="1" applyFill="1" applyBorder="1"/>
    <xf numFmtId="0" fontId="1" fillId="4" borderId="88" xfId="0" applyFont="1" applyFill="1" applyBorder="1"/>
    <xf numFmtId="167" fontId="0" fillId="0" borderId="4" xfId="0" applyNumberFormat="1" applyBorder="1" applyAlignment="1">
      <alignment horizontal="left" vertical="center"/>
    </xf>
    <xf numFmtId="167" fontId="50" fillId="0" borderId="0" xfId="0" applyNumberFormat="1" applyFont="1" applyAlignment="1">
      <alignment horizontal="left" vertical="center"/>
    </xf>
    <xf numFmtId="167" fontId="44" fillId="0" borderId="4" xfId="0" applyNumberFormat="1" applyFont="1" applyBorder="1" applyAlignment="1">
      <alignment horizontal="left" vertical="center"/>
    </xf>
    <xf numFmtId="167" fontId="0" fillId="0" borderId="2" xfId="0" applyNumberFormat="1" applyBorder="1" applyAlignment="1">
      <alignment horizontal="left" vertical="center"/>
    </xf>
    <xf numFmtId="167" fontId="0" fillId="0" borderId="8" xfId="0" applyNumberFormat="1" applyBorder="1" applyAlignment="1">
      <alignment horizontal="left" vertical="center"/>
    </xf>
    <xf numFmtId="167" fontId="50" fillId="0" borderId="18" xfId="0" applyNumberFormat="1" applyFont="1" applyBorder="1" applyAlignment="1">
      <alignment horizontal="left" vertical="center"/>
    </xf>
    <xf numFmtId="167" fontId="44" fillId="0" borderId="6" xfId="0" applyNumberFormat="1" applyFont="1" applyBorder="1" applyAlignment="1">
      <alignment horizontal="left" vertical="center"/>
    </xf>
    <xf numFmtId="167" fontId="71" fillId="3" borderId="44" xfId="24" applyNumberFormat="1" applyFont="1" applyFill="1" applyBorder="1" applyAlignment="1">
      <alignment horizontal="center" vertical="center" wrapText="1"/>
    </xf>
    <xf numFmtId="167" fontId="55" fillId="4" borderId="0" xfId="24" applyNumberFormat="1" applyFont="1" applyFill="1"/>
    <xf numFmtId="0" fontId="55" fillId="4" borderId="0" xfId="0" applyFont="1" applyFill="1" applyAlignment="1">
      <alignment horizontal="center" vertical="center"/>
    </xf>
    <xf numFmtId="0" fontId="72" fillId="4" borderId="0" xfId="0" applyFont="1" applyFill="1"/>
    <xf numFmtId="0" fontId="73" fillId="4" borderId="0" xfId="11" applyFont="1" applyFill="1"/>
    <xf numFmtId="167" fontId="73" fillId="4" borderId="0" xfId="24" applyNumberFormat="1" applyFont="1" applyFill="1" applyBorder="1"/>
    <xf numFmtId="0" fontId="73" fillId="4" borderId="0" xfId="0" applyFont="1" applyFill="1" applyAlignment="1">
      <alignment horizontal="center" vertical="center"/>
    </xf>
    <xf numFmtId="0" fontId="71" fillId="3" borderId="44" xfId="3" applyFont="1" applyFill="1" applyBorder="1" applyAlignment="1">
      <alignment horizontal="left" vertical="center" wrapText="1"/>
    </xf>
    <xf numFmtId="0" fontId="71" fillId="3" borderId="44" xfId="3" applyFont="1" applyFill="1" applyBorder="1" applyAlignment="1">
      <alignment horizontal="center" vertical="center" wrapText="1"/>
    </xf>
    <xf numFmtId="0" fontId="55" fillId="4" borderId="22" xfId="0" applyFont="1" applyFill="1" applyBorder="1"/>
    <xf numFmtId="0" fontId="23" fillId="4" borderId="0" xfId="0" applyFont="1" applyFill="1"/>
    <xf numFmtId="0" fontId="55" fillId="0" borderId="0" xfId="0" applyFont="1" applyAlignment="1">
      <alignment horizontal="center"/>
    </xf>
    <xf numFmtId="0" fontId="73" fillId="4" borderId="0" xfId="0" applyFont="1" applyFill="1" applyAlignment="1">
      <alignment horizontal="left" vertical="center"/>
    </xf>
    <xf numFmtId="0" fontId="71" fillId="3" borderId="44" xfId="3" applyFont="1" applyFill="1" applyBorder="1" applyAlignment="1">
      <alignment horizontal="center" vertical="center"/>
    </xf>
    <xf numFmtId="0" fontId="72" fillId="4" borderId="0" xfId="0" applyFont="1" applyFill="1" applyAlignment="1">
      <alignment vertical="center"/>
    </xf>
    <xf numFmtId="0" fontId="72" fillId="3" borderId="46" xfId="0" applyFont="1" applyFill="1" applyBorder="1" applyAlignment="1">
      <alignment horizontal="center" vertical="center"/>
    </xf>
    <xf numFmtId="0" fontId="72" fillId="3" borderId="13" xfId="0" applyFont="1" applyFill="1" applyBorder="1" applyAlignment="1">
      <alignment horizontal="center" vertical="center"/>
    </xf>
    <xf numFmtId="0" fontId="47" fillId="0" borderId="57" xfId="0" applyFont="1" applyBorder="1" applyAlignment="1">
      <alignment horizontal="center" vertical="center"/>
    </xf>
    <xf numFmtId="0" fontId="55" fillId="4" borderId="37" xfId="0" applyFont="1" applyFill="1" applyBorder="1" applyAlignment="1">
      <alignment horizontal="center" vertical="center"/>
    </xf>
    <xf numFmtId="0" fontId="47" fillId="0" borderId="41" xfId="0" applyFont="1" applyBorder="1" applyAlignment="1">
      <alignment horizontal="center" vertical="center"/>
    </xf>
    <xf numFmtId="0" fontId="55" fillId="4" borderId="38" xfId="0" applyFont="1" applyFill="1" applyBorder="1" applyAlignment="1">
      <alignment horizontal="center" vertical="center"/>
    </xf>
    <xf numFmtId="0" fontId="77" fillId="4" borderId="0" xfId="0" applyFont="1" applyFill="1" applyAlignment="1">
      <alignment vertical="center"/>
    </xf>
    <xf numFmtId="0" fontId="47" fillId="0" borderId="39" xfId="0" applyFont="1" applyBorder="1" applyAlignment="1">
      <alignment horizontal="center" vertical="center"/>
    </xf>
    <xf numFmtId="0" fontId="47" fillId="0" borderId="43" xfId="0" applyFont="1" applyBorder="1" applyAlignment="1">
      <alignment horizontal="center" vertical="center"/>
    </xf>
    <xf numFmtId="0" fontId="47" fillId="0" borderId="15" xfId="0" applyFont="1" applyBorder="1" applyAlignment="1">
      <alignment horizontal="center" vertical="center"/>
    </xf>
    <xf numFmtId="0" fontId="72" fillId="4" borderId="0" xfId="0" applyFont="1" applyFill="1" applyAlignment="1">
      <alignment horizontal="center" vertical="center"/>
    </xf>
    <xf numFmtId="0" fontId="47" fillId="0" borderId="42" xfId="0" applyFont="1" applyBorder="1" applyAlignment="1">
      <alignment horizontal="center" vertical="center"/>
    </xf>
    <xf numFmtId="0" fontId="55" fillId="4" borderId="40" xfId="0" applyFont="1" applyFill="1" applyBorder="1" applyAlignment="1">
      <alignment horizontal="center" vertical="center"/>
    </xf>
    <xf numFmtId="0" fontId="74" fillId="4" borderId="0" xfId="0" applyFont="1" applyFill="1" applyAlignment="1">
      <alignment horizontal="center"/>
    </xf>
    <xf numFmtId="0" fontId="55" fillId="4" borderId="0" xfId="0" applyFont="1" applyFill="1" applyAlignment="1">
      <alignment horizontal="center"/>
    </xf>
    <xf numFmtId="0" fontId="47" fillId="4" borderId="0" xfId="0" applyFont="1" applyFill="1" applyAlignment="1">
      <alignment horizontal="left"/>
    </xf>
    <xf numFmtId="0" fontId="74" fillId="4" borderId="0" xfId="0" applyFont="1" applyFill="1"/>
    <xf numFmtId="0" fontId="74" fillId="4" borderId="0" xfId="0" quotePrefix="1" applyFont="1" applyFill="1"/>
    <xf numFmtId="0" fontId="76" fillId="4" borderId="0" xfId="0" applyFont="1" applyFill="1"/>
    <xf numFmtId="0" fontId="73" fillId="4" borderId="0" xfId="0" applyFont="1" applyFill="1" applyAlignment="1">
      <alignment vertical="center"/>
    </xf>
    <xf numFmtId="0" fontId="78" fillId="3" borderId="44" xfId="3" applyFont="1" applyFill="1" applyBorder="1" applyAlignment="1">
      <alignment horizontal="center" vertical="center" wrapText="1"/>
    </xf>
    <xf numFmtId="0" fontId="75" fillId="3" borderId="45" xfId="2" applyFont="1" applyFill="1" applyBorder="1" applyAlignment="1">
      <alignment horizontal="center" vertical="center" wrapText="1"/>
    </xf>
    <xf numFmtId="0" fontId="47" fillId="0" borderId="19" xfId="13" applyFont="1" applyBorder="1"/>
    <xf numFmtId="0" fontId="47" fillId="0" borderId="56" xfId="13" applyFont="1" applyBorder="1"/>
    <xf numFmtId="0" fontId="47" fillId="0" borderId="23" xfId="13" applyFont="1" applyBorder="1"/>
    <xf numFmtId="0" fontId="47" fillId="0" borderId="15" xfId="13" applyFont="1" applyBorder="1"/>
    <xf numFmtId="3" fontId="47" fillId="0" borderId="15" xfId="1" applyNumberFormat="1" applyFont="1" applyBorder="1" applyAlignment="1">
      <alignment horizontal="center" vertical="center"/>
    </xf>
    <xf numFmtId="0" fontId="47" fillId="0" borderId="39" xfId="13" applyFont="1" applyBorder="1"/>
    <xf numFmtId="0" fontId="47" fillId="0" borderId="15" xfId="13" quotePrefix="1" applyFont="1" applyBorder="1"/>
    <xf numFmtId="0" fontId="47" fillId="0" borderId="16" xfId="13" applyFont="1" applyBorder="1"/>
    <xf numFmtId="0" fontId="47" fillId="0" borderId="17" xfId="13" quotePrefix="1" applyFont="1" applyBorder="1"/>
    <xf numFmtId="3" fontId="47" fillId="0" borderId="17" xfId="1" applyNumberFormat="1" applyFont="1" applyBorder="1" applyAlignment="1">
      <alignment horizontal="center" vertical="center"/>
    </xf>
    <xf numFmtId="0" fontId="74" fillId="4" borderId="0" xfId="13" quotePrefix="1" applyFont="1" applyFill="1"/>
    <xf numFmtId="3" fontId="74" fillId="4" borderId="0" xfId="1" applyNumberFormat="1" applyFont="1" applyFill="1" applyAlignment="1">
      <alignment horizontal="center"/>
    </xf>
    <xf numFmtId="0" fontId="73" fillId="0" borderId="26" xfId="13" applyFont="1" applyBorder="1"/>
    <xf numFmtId="0" fontId="75" fillId="4" borderId="25" xfId="13" applyFont="1" applyFill="1" applyBorder="1" applyAlignment="1">
      <alignment horizontal="center" vertical="center"/>
    </xf>
    <xf numFmtId="0" fontId="73" fillId="0" borderId="31" xfId="13" applyFont="1" applyBorder="1"/>
    <xf numFmtId="0" fontId="73" fillId="4" borderId="40" xfId="13" applyFont="1" applyFill="1" applyBorder="1" applyAlignment="1">
      <alignment horizontal="center" vertical="center"/>
    </xf>
    <xf numFmtId="0" fontId="75" fillId="4" borderId="24" xfId="13" applyFont="1" applyFill="1" applyBorder="1" applyAlignment="1">
      <alignment horizontal="center" vertical="center"/>
    </xf>
    <xf numFmtId="0" fontId="79" fillId="4" borderId="0" xfId="0" applyFont="1" applyFill="1"/>
    <xf numFmtId="0" fontId="80" fillId="4" borderId="0" xfId="0" applyFont="1" applyFill="1" applyAlignment="1">
      <alignment vertical="center"/>
    </xf>
    <xf numFmtId="0" fontId="79" fillId="6" borderId="1" xfId="2" applyFont="1" applyFill="1" applyBorder="1" applyAlignment="1">
      <alignment vertical="center"/>
    </xf>
    <xf numFmtId="0" fontId="79" fillId="6" borderId="14" xfId="2" applyFont="1" applyFill="1" applyBorder="1" applyAlignment="1">
      <alignment vertical="center"/>
    </xf>
    <xf numFmtId="0" fontId="79" fillId="6" borderId="2" xfId="2" applyFont="1" applyFill="1" applyBorder="1" applyAlignment="1">
      <alignment vertical="center"/>
    </xf>
    <xf numFmtId="42" fontId="1" fillId="2" borderId="21" xfId="0" applyNumberFormat="1" applyFont="1" applyFill="1" applyBorder="1" applyAlignment="1">
      <alignment horizontal="right" vertical="center"/>
    </xf>
    <xf numFmtId="0" fontId="81" fillId="3" borderId="21" xfId="13" quotePrefix="1" applyFont="1" applyFill="1" applyBorder="1" applyAlignment="1">
      <alignment horizontal="center" vertical="center"/>
    </xf>
    <xf numFmtId="0" fontId="81" fillId="3" borderId="2" xfId="2" applyFont="1" applyFill="1" applyBorder="1" applyAlignment="1">
      <alignment horizontal="center" vertical="center"/>
    </xf>
    <xf numFmtId="0" fontId="75" fillId="3" borderId="21" xfId="13" quotePrefix="1" applyFont="1" applyFill="1" applyBorder="1" applyAlignment="1">
      <alignment horizontal="center"/>
    </xf>
    <xf numFmtId="3" fontId="75" fillId="3" borderId="8" xfId="1" applyNumberFormat="1" applyFont="1" applyFill="1" applyBorder="1" applyAlignment="1">
      <alignment horizontal="center"/>
    </xf>
    <xf numFmtId="0" fontId="75" fillId="4" borderId="37" xfId="13" applyFont="1" applyFill="1" applyBorder="1" applyAlignment="1">
      <alignment horizontal="center" vertical="center"/>
    </xf>
    <xf numFmtId="167" fontId="73" fillId="0" borderId="28" xfId="24" applyNumberFormat="1" applyFont="1" applyFill="1" applyBorder="1"/>
    <xf numFmtId="167" fontId="73" fillId="0" borderId="129" xfId="24" applyNumberFormat="1" applyFont="1" applyFill="1" applyBorder="1"/>
    <xf numFmtId="167" fontId="73" fillId="0" borderId="18" xfId="24" applyNumberFormat="1" applyFont="1" applyFill="1" applyBorder="1"/>
    <xf numFmtId="0" fontId="73" fillId="0" borderId="37" xfId="11" applyFont="1" applyBorder="1"/>
    <xf numFmtId="0" fontId="73" fillId="0" borderId="38" xfId="11" applyFont="1" applyBorder="1"/>
    <xf numFmtId="0" fontId="73" fillId="0" borderId="40" xfId="11" applyFont="1" applyBorder="1"/>
    <xf numFmtId="0" fontId="79" fillId="3" borderId="21" xfId="13" quotePrefix="1" applyFont="1" applyFill="1" applyBorder="1" applyAlignment="1">
      <alignment horizontal="left" vertical="center"/>
    </xf>
    <xf numFmtId="0" fontId="80" fillId="17" borderId="0" xfId="0" applyFont="1" applyFill="1" applyAlignment="1">
      <alignment horizontal="left" vertical="center"/>
    </xf>
    <xf numFmtId="171" fontId="80" fillId="17" borderId="0" xfId="0" applyNumberFormat="1" applyFont="1" applyFill="1" applyAlignment="1">
      <alignment horizontal="left" vertical="center"/>
    </xf>
    <xf numFmtId="9" fontId="80" fillId="17" borderId="0" xfId="35" applyFont="1" applyFill="1" applyAlignment="1">
      <alignment horizontal="left" vertical="center"/>
    </xf>
    <xf numFmtId="9" fontId="80" fillId="17" borderId="0" xfId="0" applyNumberFormat="1" applyFont="1" applyFill="1" applyAlignment="1">
      <alignment horizontal="left" vertical="center"/>
    </xf>
    <xf numFmtId="171" fontId="79" fillId="17" borderId="0" xfId="0" applyNumberFormat="1" applyFont="1" applyFill="1" applyAlignment="1">
      <alignment horizontal="left" vertical="center"/>
    </xf>
    <xf numFmtId="171" fontId="79" fillId="17" borderId="0" xfId="0" applyNumberFormat="1" applyFont="1" applyFill="1" applyAlignment="1">
      <alignment horizontal="left" vertical="center" indent="5"/>
    </xf>
    <xf numFmtId="171" fontId="80" fillId="17" borderId="0" xfId="0" applyNumberFormat="1" applyFont="1" applyFill="1" applyAlignment="1">
      <alignment horizontal="left" vertical="center" indent="5"/>
    </xf>
    <xf numFmtId="0" fontId="80" fillId="17" borderId="0" xfId="0" applyFont="1" applyFill="1" applyAlignment="1">
      <alignment horizontal="left" vertical="center" indent="2"/>
    </xf>
    <xf numFmtId="0" fontId="80" fillId="17" borderId="0" xfId="0" applyFont="1" applyFill="1" applyAlignment="1">
      <alignment horizontal="left" vertical="center" indent="3"/>
    </xf>
    <xf numFmtId="0" fontId="80" fillId="17" borderId="0" xfId="0" applyFont="1" applyFill="1" applyAlignment="1">
      <alignment horizontal="left" vertical="center" indent="5"/>
    </xf>
    <xf numFmtId="0" fontId="83" fillId="4" borderId="0" xfId="0" applyFont="1" applyFill="1"/>
    <xf numFmtId="0" fontId="82" fillId="17" borderId="0" xfId="0" applyFont="1" applyFill="1" applyAlignment="1">
      <alignment horizontal="left" vertical="center"/>
    </xf>
    <xf numFmtId="0" fontId="3" fillId="0" borderId="7" xfId="0" applyFont="1" applyBorder="1" applyAlignment="1">
      <alignment vertical="center"/>
    </xf>
    <xf numFmtId="167" fontId="10" fillId="0" borderId="9" xfId="0" applyNumberFormat="1" applyFont="1" applyBorder="1" applyAlignment="1">
      <alignment vertical="center"/>
    </xf>
    <xf numFmtId="167" fontId="3" fillId="0" borderId="9" xfId="0" applyNumberFormat="1" applyFont="1" applyBorder="1" applyAlignment="1">
      <alignment horizontal="left" vertical="center"/>
    </xf>
    <xf numFmtId="167" fontId="3" fillId="0" borderId="9" xfId="0" applyNumberFormat="1" applyFont="1" applyBorder="1" applyAlignment="1">
      <alignment horizontal="right" vertical="center"/>
    </xf>
    <xf numFmtId="42" fontId="3" fillId="0" borderId="9" xfId="0" applyNumberFormat="1" applyFont="1" applyBorder="1" applyAlignment="1">
      <alignment horizontal="right" vertical="center"/>
    </xf>
    <xf numFmtId="42" fontId="3" fillId="0" borderId="8" xfId="0" applyNumberFormat="1" applyFont="1" applyBorder="1" applyAlignment="1">
      <alignment horizontal="right" vertical="center"/>
    </xf>
    <xf numFmtId="0" fontId="0" fillId="0" borderId="3" xfId="0" applyBorder="1" applyAlignment="1">
      <alignment horizontal="left" vertical="center" indent="1"/>
    </xf>
    <xf numFmtId="42" fontId="10" fillId="0" borderId="0" xfId="0" applyNumberFormat="1" applyFont="1" applyAlignment="1">
      <alignment vertical="center"/>
    </xf>
    <xf numFmtId="42" fontId="0" fillId="0" borderId="0" xfId="0" applyNumberFormat="1" applyAlignment="1">
      <alignment horizontal="left" vertical="center"/>
    </xf>
    <xf numFmtId="167" fontId="0" fillId="0" borderId="0" xfId="0" quotePrefix="1" applyNumberFormat="1" applyAlignment="1">
      <alignment horizontal="right" vertical="center"/>
    </xf>
    <xf numFmtId="42" fontId="0" fillId="0" borderId="0" xfId="0" applyNumberFormat="1" applyAlignment="1">
      <alignment horizontal="right" vertical="center"/>
    </xf>
    <xf numFmtId="10" fontId="45" fillId="0" borderId="4" xfId="35" applyNumberFormat="1" applyFont="1" applyFill="1" applyBorder="1" applyAlignment="1">
      <alignment horizontal="center" vertical="center"/>
    </xf>
    <xf numFmtId="0" fontId="0" fillId="0" borderId="5" xfId="0" applyBorder="1" applyAlignment="1">
      <alignment horizontal="left" vertical="center" indent="1"/>
    </xf>
    <xf numFmtId="42" fontId="10" fillId="0" borderId="18" xfId="0" applyNumberFormat="1" applyFont="1" applyBorder="1" applyAlignment="1">
      <alignment vertical="center"/>
    </xf>
    <xf numFmtId="42" fontId="0" fillId="0" borderId="18" xfId="0" applyNumberFormat="1" applyBorder="1" applyAlignment="1">
      <alignment horizontal="left" vertical="center"/>
    </xf>
    <xf numFmtId="167" fontId="0" fillId="0" borderId="18" xfId="0" quotePrefix="1" applyNumberFormat="1" applyBorder="1" applyAlignment="1">
      <alignment horizontal="right" vertical="center"/>
    </xf>
    <xf numFmtId="42" fontId="0" fillId="0" borderId="18" xfId="0" applyNumberFormat="1" applyBorder="1" applyAlignment="1">
      <alignment horizontal="right" vertical="center"/>
    </xf>
    <xf numFmtId="10" fontId="45" fillId="0" borderId="6" xfId="0" applyNumberFormat="1" applyFont="1" applyBorder="1" applyAlignment="1">
      <alignment horizontal="center" vertical="center"/>
    </xf>
    <xf numFmtId="0" fontId="23" fillId="17" borderId="0" xfId="0" applyFont="1" applyFill="1" applyAlignment="1">
      <alignment horizontal="left" vertical="center"/>
    </xf>
    <xf numFmtId="42" fontId="13" fillId="12" borderId="48" xfId="0" applyNumberFormat="1" applyFont="1" applyFill="1" applyBorder="1" applyAlignment="1">
      <alignment horizontal="center" vertical="center"/>
    </xf>
    <xf numFmtId="42" fontId="43" fillId="0" borderId="48" xfId="0" applyNumberFormat="1" applyFont="1" applyBorder="1" applyAlignment="1">
      <alignment horizontal="center" vertical="center"/>
    </xf>
    <xf numFmtId="42" fontId="13" fillId="12" borderId="76" xfId="0" applyNumberFormat="1" applyFont="1" applyFill="1" applyBorder="1" applyAlignment="1">
      <alignment horizontal="center" vertical="center"/>
    </xf>
    <xf numFmtId="42" fontId="13" fillId="12" borderId="80" xfId="0" applyNumberFormat="1" applyFont="1" applyFill="1" applyBorder="1" applyAlignment="1">
      <alignment horizontal="center" vertical="center"/>
    </xf>
    <xf numFmtId="42" fontId="13" fillId="12" borderId="86" xfId="0" applyNumberFormat="1" applyFont="1" applyFill="1" applyBorder="1" applyAlignment="1">
      <alignment horizontal="center" vertical="center"/>
    </xf>
    <xf numFmtId="42" fontId="43" fillId="0" borderId="86" xfId="0" quotePrefix="1" applyNumberFormat="1" applyFont="1" applyBorder="1" applyAlignment="1">
      <alignment horizontal="center" vertical="center"/>
    </xf>
    <xf numFmtId="0" fontId="11" fillId="4" borderId="70" xfId="9" applyFont="1" applyFill="1" applyBorder="1" applyAlignment="1">
      <alignment vertical="center"/>
    </xf>
    <xf numFmtId="0" fontId="11" fillId="4" borderId="0" xfId="0" applyFont="1" applyFill="1" applyAlignment="1">
      <alignment vertical="center"/>
    </xf>
    <xf numFmtId="9" fontId="43" fillId="4" borderId="4" xfId="0" applyNumberFormat="1" applyFont="1" applyFill="1" applyBorder="1" applyAlignment="1">
      <alignment horizontal="center" vertical="center"/>
    </xf>
    <xf numFmtId="42" fontId="11" fillId="4" borderId="11" xfId="0" applyNumberFormat="1" applyFont="1" applyFill="1" applyBorder="1" applyAlignment="1">
      <alignment horizontal="center" vertical="center"/>
    </xf>
    <xf numFmtId="167" fontId="11" fillId="11" borderId="11" xfId="0" applyNumberFormat="1" applyFont="1" applyFill="1" applyBorder="1" applyAlignment="1">
      <alignment horizontal="center" vertical="center"/>
    </xf>
    <xf numFmtId="42" fontId="11" fillId="4" borderId="22" xfId="0" applyNumberFormat="1" applyFont="1" applyFill="1" applyBorder="1" applyAlignment="1">
      <alignment horizontal="center" vertical="center"/>
    </xf>
    <xf numFmtId="42" fontId="11" fillId="4" borderId="112" xfId="0" applyNumberFormat="1" applyFont="1" applyFill="1" applyBorder="1" applyAlignment="1">
      <alignment horizontal="center" vertical="center"/>
    </xf>
    <xf numFmtId="0" fontId="11" fillId="4" borderId="47" xfId="9" applyFont="1" applyFill="1" applyBorder="1" applyAlignment="1">
      <alignment vertical="center"/>
    </xf>
    <xf numFmtId="0" fontId="13" fillId="4" borderId="0" xfId="9" applyFont="1" applyFill="1" applyAlignment="1">
      <alignment vertical="center" wrapText="1"/>
    </xf>
    <xf numFmtId="42" fontId="13" fillId="4" borderId="22" xfId="0" applyNumberFormat="1" applyFont="1" applyFill="1" applyBorder="1" applyAlignment="1">
      <alignment horizontal="center" vertical="center"/>
    </xf>
    <xf numFmtId="42" fontId="11" fillId="0" borderId="112" xfId="0" applyNumberFormat="1" applyFont="1" applyBorder="1" applyAlignment="1">
      <alignment horizontal="center" vertical="center"/>
    </xf>
    <xf numFmtId="42" fontId="11" fillId="0" borderId="88" xfId="0" applyNumberFormat="1" applyFont="1" applyBorder="1" applyAlignment="1">
      <alignment horizontal="center" vertical="center"/>
    </xf>
    <xf numFmtId="167" fontId="13" fillId="14" borderId="114" xfId="0" applyNumberFormat="1" applyFont="1" applyFill="1" applyBorder="1" applyAlignment="1">
      <alignment horizontal="center" vertical="center"/>
    </xf>
    <xf numFmtId="167" fontId="13" fillId="14" borderId="112" xfId="0" applyNumberFormat="1" applyFont="1" applyFill="1" applyBorder="1" applyAlignment="1">
      <alignment horizontal="center" vertical="center"/>
    </xf>
    <xf numFmtId="167" fontId="13" fillId="14" borderId="88" xfId="0" applyNumberFormat="1" applyFont="1" applyFill="1" applyBorder="1" applyAlignment="1">
      <alignment horizontal="center" vertical="center"/>
    </xf>
    <xf numFmtId="167" fontId="13" fillId="13" borderId="11" xfId="0" quotePrefix="1" applyNumberFormat="1" applyFont="1" applyFill="1" applyBorder="1" applyAlignment="1">
      <alignment horizontal="center" vertical="center"/>
    </xf>
    <xf numFmtId="42" fontId="13" fillId="12" borderId="22" xfId="0" applyNumberFormat="1" applyFont="1" applyFill="1" applyBorder="1" applyAlignment="1">
      <alignment horizontal="center" vertical="center"/>
    </xf>
    <xf numFmtId="167" fontId="13" fillId="13" borderId="113" xfId="0" quotePrefix="1" applyNumberFormat="1" applyFont="1" applyFill="1" applyBorder="1" applyAlignment="1">
      <alignment horizontal="center" vertical="center"/>
    </xf>
    <xf numFmtId="0" fontId="43" fillId="4" borderId="89" xfId="9" applyFont="1" applyFill="1" applyBorder="1" applyAlignment="1">
      <alignment horizontal="center" vertical="center" wrapText="1"/>
    </xf>
    <xf numFmtId="0" fontId="11" fillId="4" borderId="72" xfId="0" applyFont="1" applyFill="1" applyBorder="1" applyAlignment="1">
      <alignment vertical="center"/>
    </xf>
    <xf numFmtId="9" fontId="43" fillId="4" borderId="74" xfId="0" applyNumberFormat="1" applyFont="1" applyFill="1" applyBorder="1" applyAlignment="1">
      <alignment horizontal="center" vertical="center"/>
    </xf>
    <xf numFmtId="42" fontId="11" fillId="4" borderId="73" xfId="0" applyNumberFormat="1" applyFont="1" applyFill="1" applyBorder="1" applyAlignment="1">
      <alignment horizontal="center" vertical="center"/>
    </xf>
    <xf numFmtId="167" fontId="11" fillId="11" borderId="73" xfId="0" applyNumberFormat="1" applyFont="1" applyFill="1" applyBorder="1" applyAlignment="1">
      <alignment horizontal="center" vertical="center"/>
    </xf>
    <xf numFmtId="42" fontId="13" fillId="0" borderId="94" xfId="0" applyNumberFormat="1" applyFont="1" applyBorder="1" applyAlignment="1">
      <alignment horizontal="center" vertical="center"/>
    </xf>
    <xf numFmtId="42" fontId="11" fillId="4" borderId="113" xfId="0" applyNumberFormat="1" applyFont="1" applyFill="1" applyBorder="1" applyAlignment="1">
      <alignment horizontal="center" vertical="center"/>
    </xf>
    <xf numFmtId="167" fontId="13" fillId="14" borderId="115" xfId="0" applyNumberFormat="1" applyFont="1" applyFill="1" applyBorder="1" applyAlignment="1">
      <alignment horizontal="center" vertical="center"/>
    </xf>
    <xf numFmtId="0" fontId="43" fillId="4" borderId="90" xfId="9" applyFont="1" applyFill="1" applyBorder="1" applyAlignment="1">
      <alignment horizontal="center" vertical="center" wrapText="1"/>
    </xf>
    <xf numFmtId="0" fontId="13" fillId="4" borderId="77" xfId="9" applyFont="1" applyFill="1" applyBorder="1" applyAlignment="1">
      <alignment vertical="center" wrapText="1"/>
    </xf>
    <xf numFmtId="9" fontId="43" fillId="4" borderId="79" xfId="0" applyNumberFormat="1" applyFont="1" applyFill="1" applyBorder="1" applyAlignment="1">
      <alignment horizontal="center" vertical="center"/>
    </xf>
    <xf numFmtId="42" fontId="11" fillId="4" borderId="78" xfId="0" applyNumberFormat="1" applyFont="1" applyFill="1" applyBorder="1" applyAlignment="1">
      <alignment horizontal="center" vertical="center"/>
    </xf>
    <xf numFmtId="167" fontId="13" fillId="13" borderId="78" xfId="0" quotePrefix="1" applyNumberFormat="1" applyFont="1" applyFill="1" applyBorder="1" applyAlignment="1">
      <alignment horizontal="center" vertical="center"/>
    </xf>
    <xf numFmtId="42" fontId="13" fillId="12" borderId="108" xfId="0" applyNumberFormat="1" applyFont="1" applyFill="1" applyBorder="1" applyAlignment="1">
      <alignment horizontal="center" vertical="center"/>
    </xf>
    <xf numFmtId="42" fontId="11" fillId="4" borderId="114" xfId="0" applyNumberFormat="1" applyFont="1" applyFill="1" applyBorder="1" applyAlignment="1">
      <alignment horizontal="center" vertical="center"/>
    </xf>
    <xf numFmtId="167" fontId="13" fillId="13" borderId="115" xfId="0" quotePrefix="1" applyNumberFormat="1" applyFont="1" applyFill="1" applyBorder="1" applyAlignment="1">
      <alignment horizontal="center" vertical="center"/>
    </xf>
    <xf numFmtId="0" fontId="11" fillId="4" borderId="89" xfId="9" applyFont="1" applyFill="1" applyBorder="1" applyAlignment="1">
      <alignment vertical="center" wrapText="1"/>
    </xf>
    <xf numFmtId="0" fontId="11" fillId="4" borderId="81" xfId="0" applyFont="1" applyFill="1" applyBorder="1" applyAlignment="1">
      <alignment vertical="center"/>
    </xf>
    <xf numFmtId="42" fontId="11" fillId="0" borderId="94" xfId="0" applyNumberFormat="1" applyFont="1" applyBorder="1" applyAlignment="1">
      <alignment horizontal="center" vertical="center"/>
    </xf>
    <xf numFmtId="0" fontId="11" fillId="4" borderId="90" xfId="9" applyFont="1" applyFill="1" applyBorder="1" applyAlignment="1">
      <alignment vertical="center" wrapText="1"/>
    </xf>
    <xf numFmtId="0" fontId="11" fillId="4" borderId="77" xfId="0" applyFont="1" applyFill="1" applyBorder="1" applyAlignment="1">
      <alignment vertical="center"/>
    </xf>
    <xf numFmtId="0" fontId="11" fillId="4" borderId="47" xfId="9" applyFont="1" applyFill="1" applyBorder="1" applyAlignment="1">
      <alignment vertical="center" wrapText="1"/>
    </xf>
    <xf numFmtId="42" fontId="11" fillId="0" borderId="22" xfId="0" applyNumberFormat="1" applyFont="1" applyBorder="1" applyAlignment="1">
      <alignment horizontal="center" vertical="center"/>
    </xf>
    <xf numFmtId="0" fontId="43" fillId="4" borderId="91" xfId="9" applyFont="1" applyFill="1" applyBorder="1" applyAlignment="1">
      <alignment vertical="center" wrapText="1"/>
    </xf>
    <xf numFmtId="0" fontId="11" fillId="4" borderId="82" xfId="0" applyFont="1" applyFill="1" applyBorder="1" applyAlignment="1">
      <alignment vertical="center"/>
    </xf>
    <xf numFmtId="9" fontId="43" fillId="4" borderId="84" xfId="0" applyNumberFormat="1" applyFont="1" applyFill="1" applyBorder="1" applyAlignment="1">
      <alignment horizontal="center" vertical="center"/>
    </xf>
    <xf numFmtId="42" fontId="11" fillId="4" borderId="83" xfId="0" applyNumberFormat="1" applyFont="1" applyFill="1" applyBorder="1" applyAlignment="1">
      <alignment horizontal="center" vertical="center"/>
    </xf>
    <xf numFmtId="1" fontId="13" fillId="12" borderId="85" xfId="0" applyNumberFormat="1" applyFont="1" applyFill="1" applyBorder="1" applyAlignment="1">
      <alignment horizontal="center" vertical="center"/>
    </xf>
    <xf numFmtId="167" fontId="13" fillId="13" borderId="83" xfId="0" quotePrefix="1" applyNumberFormat="1" applyFont="1" applyFill="1" applyBorder="1" applyAlignment="1">
      <alignment horizontal="center" vertical="center"/>
    </xf>
    <xf numFmtId="42" fontId="13" fillId="12" borderId="87" xfId="0" applyNumberFormat="1" applyFont="1" applyFill="1" applyBorder="1" applyAlignment="1">
      <alignment horizontal="center" vertical="center"/>
    </xf>
    <xf numFmtId="42" fontId="11" fillId="4" borderId="115" xfId="0" applyNumberFormat="1" applyFont="1" applyFill="1" applyBorder="1" applyAlignment="1">
      <alignment horizontal="center" vertical="center"/>
    </xf>
    <xf numFmtId="42" fontId="11" fillId="0" borderId="115" xfId="0" applyNumberFormat="1" applyFont="1" applyBorder="1" applyAlignment="1">
      <alignment horizontal="center" vertical="center"/>
    </xf>
    <xf numFmtId="42" fontId="11" fillId="0" borderId="103" xfId="0" applyNumberFormat="1" applyFont="1" applyBorder="1" applyAlignment="1">
      <alignment horizontal="center" vertical="center"/>
    </xf>
    <xf numFmtId="167" fontId="13" fillId="14" borderId="103" xfId="0" applyNumberFormat="1" applyFont="1" applyFill="1" applyBorder="1" applyAlignment="1">
      <alignment horizontal="center" vertical="center"/>
    </xf>
    <xf numFmtId="0" fontId="43" fillId="4" borderId="47" xfId="9" applyFont="1" applyFill="1" applyBorder="1" applyAlignment="1">
      <alignment vertical="center" wrapText="1"/>
    </xf>
    <xf numFmtId="1" fontId="13" fillId="12" borderId="3" xfId="0" applyNumberFormat="1" applyFont="1" applyFill="1" applyBorder="1" applyAlignment="1">
      <alignment horizontal="center" vertical="center"/>
    </xf>
    <xf numFmtId="167" fontId="13" fillId="13" borderId="112" xfId="0" quotePrefix="1" applyNumberFormat="1" applyFont="1" applyFill="1" applyBorder="1" applyAlignment="1">
      <alignment horizontal="center" vertical="center"/>
    </xf>
    <xf numFmtId="0" fontId="43" fillId="0" borderId="91" xfId="9" applyFont="1" applyBorder="1" applyAlignment="1">
      <alignment horizontal="center" vertical="center"/>
    </xf>
    <xf numFmtId="0" fontId="13" fillId="0" borderId="82" xfId="9" applyFont="1" applyBorder="1" applyAlignment="1">
      <alignment vertical="center" wrapText="1"/>
    </xf>
    <xf numFmtId="167" fontId="11" fillId="11" borderId="83" xfId="0" applyNumberFormat="1" applyFont="1" applyFill="1" applyBorder="1" applyAlignment="1">
      <alignment horizontal="center" vertical="center"/>
    </xf>
    <xf numFmtId="42" fontId="11" fillId="0" borderId="87" xfId="0" applyNumberFormat="1" applyFont="1" applyBorder="1" applyAlignment="1">
      <alignment horizontal="center" vertical="center"/>
    </xf>
    <xf numFmtId="42" fontId="13" fillId="12" borderId="115" xfId="0" applyNumberFormat="1" applyFont="1" applyFill="1" applyBorder="1" applyAlignment="1">
      <alignment horizontal="center" vertical="center"/>
    </xf>
    <xf numFmtId="42" fontId="13" fillId="12" borderId="103" xfId="0" applyNumberFormat="1" applyFont="1" applyFill="1" applyBorder="1" applyAlignment="1">
      <alignment horizontal="center" vertical="center"/>
    </xf>
    <xf numFmtId="0" fontId="11" fillId="0" borderId="47" xfId="9" applyFont="1" applyBorder="1" applyAlignment="1">
      <alignment vertical="center" wrapText="1"/>
    </xf>
    <xf numFmtId="0" fontId="13" fillId="0" borderId="0" xfId="9" applyFont="1" applyAlignment="1">
      <alignment vertical="center" wrapText="1"/>
    </xf>
    <xf numFmtId="42" fontId="13" fillId="12" borderId="112" xfId="0" applyNumberFormat="1" applyFont="1" applyFill="1" applyBorder="1" applyAlignment="1">
      <alignment horizontal="center" vertical="center"/>
    </xf>
    <xf numFmtId="42" fontId="13" fillId="12" borderId="88" xfId="0" applyNumberFormat="1" applyFont="1" applyFill="1" applyBorder="1" applyAlignment="1">
      <alignment horizontal="center" vertical="center"/>
    </xf>
    <xf numFmtId="0" fontId="11" fillId="0" borderId="89" xfId="9" applyFont="1" applyBorder="1" applyAlignment="1">
      <alignment vertical="center" wrapText="1"/>
    </xf>
    <xf numFmtId="0" fontId="13" fillId="0" borderId="81" xfId="9" applyFont="1" applyBorder="1" applyAlignment="1">
      <alignment vertical="center" wrapText="1"/>
    </xf>
    <xf numFmtId="42" fontId="13" fillId="12" borderId="75" xfId="0" applyNumberFormat="1" applyFont="1" applyFill="1" applyBorder="1" applyAlignment="1">
      <alignment horizontal="center" vertical="center"/>
    </xf>
    <xf numFmtId="167" fontId="13" fillId="13" borderId="73" xfId="0" quotePrefix="1" applyNumberFormat="1" applyFont="1" applyFill="1" applyBorder="1" applyAlignment="1">
      <alignment horizontal="center" vertical="center"/>
    </xf>
    <xf numFmtId="42" fontId="13" fillId="12" borderId="94" xfId="0" applyNumberFormat="1" applyFont="1" applyFill="1" applyBorder="1" applyAlignment="1">
      <alignment horizontal="center" vertical="center"/>
    </xf>
    <xf numFmtId="42" fontId="13" fillId="12" borderId="113" xfId="0" applyNumberFormat="1" applyFont="1" applyFill="1" applyBorder="1" applyAlignment="1">
      <alignment horizontal="center" vertical="center"/>
    </xf>
    <xf numFmtId="42" fontId="13" fillId="12" borderId="106" xfId="0" applyNumberFormat="1" applyFont="1" applyFill="1" applyBorder="1" applyAlignment="1">
      <alignment horizontal="center" vertical="center"/>
    </xf>
    <xf numFmtId="167" fontId="13" fillId="13" borderId="106" xfId="0" quotePrefix="1" applyNumberFormat="1" applyFont="1" applyFill="1" applyBorder="1" applyAlignment="1">
      <alignment horizontal="center" vertical="center"/>
    </xf>
    <xf numFmtId="0" fontId="42" fillId="2" borderId="95" xfId="0" applyFont="1" applyFill="1" applyBorder="1" applyAlignment="1">
      <alignment vertical="center" wrapText="1"/>
    </xf>
    <xf numFmtId="0" fontId="42" fillId="2" borderId="96" xfId="0" applyFont="1" applyFill="1" applyBorder="1" applyAlignment="1">
      <alignment vertical="center" wrapText="1"/>
    </xf>
    <xf numFmtId="42" fontId="12" fillId="2" borderId="98" xfId="0" applyNumberFormat="1" applyFont="1" applyFill="1" applyBorder="1" applyAlignment="1">
      <alignment horizontal="center" vertical="center"/>
    </xf>
    <xf numFmtId="42" fontId="11" fillId="2" borderId="99" xfId="0" applyNumberFormat="1" applyFont="1" applyFill="1" applyBorder="1" applyAlignment="1">
      <alignment vertical="center"/>
    </xf>
    <xf numFmtId="42" fontId="11" fillId="2" borderId="100" xfId="0" applyNumberFormat="1" applyFont="1" applyFill="1" applyBorder="1" applyAlignment="1">
      <alignment vertical="center"/>
    </xf>
    <xf numFmtId="167" fontId="11" fillId="2" borderId="97" xfId="0" applyNumberFormat="1" applyFont="1" applyFill="1" applyBorder="1" applyAlignment="1">
      <alignment vertical="center"/>
    </xf>
    <xf numFmtId="42" fontId="11" fillId="2" borderId="109" xfId="0" applyNumberFormat="1" applyFont="1" applyFill="1" applyBorder="1" applyAlignment="1">
      <alignment vertical="center"/>
    </xf>
    <xf numFmtId="42" fontId="11" fillId="2" borderId="93" xfId="0" applyNumberFormat="1" applyFont="1" applyFill="1" applyBorder="1" applyAlignment="1">
      <alignment vertical="center"/>
    </xf>
    <xf numFmtId="42" fontId="11" fillId="2" borderId="101" xfId="0" applyNumberFormat="1" applyFont="1" applyFill="1" applyBorder="1" applyAlignment="1">
      <alignment vertical="center"/>
    </xf>
    <xf numFmtId="0" fontId="11" fillId="4" borderId="22" xfId="9" applyFont="1" applyFill="1" applyBorder="1" applyAlignment="1">
      <alignment vertical="center"/>
    </xf>
    <xf numFmtId="9" fontId="43" fillId="0" borderId="4" xfId="0" applyNumberFormat="1" applyFont="1" applyBorder="1" applyAlignment="1">
      <alignment horizontal="center" vertical="center"/>
    </xf>
    <xf numFmtId="42" fontId="11" fillId="0" borderId="11" xfId="0" applyNumberFormat="1" applyFont="1" applyBorder="1" applyAlignment="1">
      <alignment horizontal="center" vertical="center"/>
    </xf>
    <xf numFmtId="42" fontId="13" fillId="12" borderId="3" xfId="0" applyNumberFormat="1" applyFont="1" applyFill="1" applyBorder="1" applyAlignment="1">
      <alignment horizontal="center" vertical="center"/>
    </xf>
    <xf numFmtId="167" fontId="13" fillId="13" borderId="88" xfId="0" quotePrefix="1" applyNumberFormat="1" applyFont="1" applyFill="1" applyBorder="1" applyAlignment="1">
      <alignment horizontal="center" vertical="center"/>
    </xf>
    <xf numFmtId="0" fontId="11" fillId="4" borderId="22" xfId="9" applyFont="1" applyFill="1" applyBorder="1" applyAlignment="1">
      <alignment vertical="center" wrapText="1"/>
    </xf>
    <xf numFmtId="0" fontId="43" fillId="0" borderId="92" xfId="9" applyFont="1" applyBorder="1" applyAlignment="1">
      <alignment vertical="center" wrapText="1"/>
    </xf>
    <xf numFmtId="0" fontId="13" fillId="0" borderId="71" xfId="9" applyFont="1" applyBorder="1" applyAlignment="1">
      <alignment vertical="center" wrapText="1"/>
    </xf>
    <xf numFmtId="9" fontId="43" fillId="0" borderId="61" xfId="0" applyNumberFormat="1" applyFont="1" applyBorder="1" applyAlignment="1">
      <alignment horizontal="center" vertical="center"/>
    </xf>
    <xf numFmtId="42" fontId="11" fillId="0" borderId="60" xfId="0" applyNumberFormat="1" applyFont="1" applyBorder="1" applyAlignment="1">
      <alignment horizontal="center" vertical="center"/>
    </xf>
    <xf numFmtId="42" fontId="13" fillId="12" borderId="62" xfId="0" applyNumberFormat="1" applyFont="1" applyFill="1" applyBorder="1" applyAlignment="1">
      <alignment horizontal="center" vertical="center"/>
    </xf>
    <xf numFmtId="42" fontId="13" fillId="12" borderId="63" xfId="0" applyNumberFormat="1" applyFont="1" applyFill="1" applyBorder="1" applyAlignment="1">
      <alignment horizontal="center" vertical="center"/>
    </xf>
    <xf numFmtId="167" fontId="13" fillId="13" borderId="60" xfId="0" quotePrefix="1" applyNumberFormat="1" applyFont="1" applyFill="1" applyBorder="1" applyAlignment="1">
      <alignment horizontal="center" vertical="center"/>
    </xf>
    <xf numFmtId="42" fontId="13" fillId="12" borderId="71" xfId="0" applyNumberFormat="1" applyFont="1" applyFill="1" applyBorder="1" applyAlignment="1">
      <alignment horizontal="center" vertical="center"/>
    </xf>
    <xf numFmtId="42" fontId="13" fillId="12" borderId="116" xfId="0" applyNumberFormat="1" applyFont="1" applyFill="1" applyBorder="1" applyAlignment="1">
      <alignment horizontal="center" vertical="center"/>
    </xf>
    <xf numFmtId="42" fontId="13" fillId="12" borderId="107" xfId="0" applyNumberFormat="1" applyFont="1" applyFill="1" applyBorder="1" applyAlignment="1">
      <alignment horizontal="center" vertical="center"/>
    </xf>
    <xf numFmtId="167" fontId="13" fillId="13" borderId="116" xfId="0" quotePrefix="1" applyNumberFormat="1" applyFont="1" applyFill="1" applyBorder="1" applyAlignment="1">
      <alignment horizontal="center" vertical="center"/>
    </xf>
    <xf numFmtId="167" fontId="13" fillId="13" borderId="107" xfId="0" quotePrefix="1" applyNumberFormat="1" applyFont="1" applyFill="1" applyBorder="1" applyAlignment="1">
      <alignment horizontal="center" vertical="center"/>
    </xf>
    <xf numFmtId="0" fontId="0" fillId="4" borderId="3" xfId="0" applyFill="1" applyBorder="1"/>
    <xf numFmtId="0" fontId="79" fillId="17" borderId="0" xfId="0" applyFont="1" applyFill="1" applyAlignment="1">
      <alignment horizontal="left" vertical="center" indent="2"/>
    </xf>
    <xf numFmtId="3" fontId="47" fillId="0" borderId="56" xfId="1" applyNumberFormat="1" applyFont="1" applyBorder="1" applyAlignment="1">
      <alignment horizontal="center" vertical="center"/>
    </xf>
    <xf numFmtId="10" fontId="45" fillId="0" borderId="4" xfId="0" applyNumberFormat="1" applyFont="1" applyBorder="1" applyAlignment="1">
      <alignment horizontal="center" vertical="center"/>
    </xf>
    <xf numFmtId="42" fontId="10" fillId="0" borderId="0" xfId="0" applyNumberFormat="1" applyFont="1" applyAlignment="1">
      <alignment horizontal="left" vertical="center" indent="1"/>
    </xf>
    <xf numFmtId="42" fontId="10" fillId="0" borderId="18" xfId="0" applyNumberFormat="1" applyFont="1" applyBorder="1" applyAlignment="1">
      <alignment horizontal="left" vertical="center" indent="1"/>
    </xf>
    <xf numFmtId="0" fontId="84" fillId="4" borderId="0" xfId="0" applyFont="1" applyFill="1"/>
    <xf numFmtId="171" fontId="84" fillId="4" borderId="0" xfId="0" applyNumberFormat="1" applyFont="1" applyFill="1"/>
    <xf numFmtId="42" fontId="48" fillId="11" borderId="110" xfId="0" applyNumberFormat="1" applyFont="1" applyFill="1" applyBorder="1" applyAlignment="1">
      <alignment horizontal="center" vertical="center" wrapText="1"/>
    </xf>
    <xf numFmtId="0" fontId="47" fillId="0" borderId="0" xfId="0" applyFont="1" applyAlignment="1">
      <alignment horizontal="center"/>
    </xf>
    <xf numFmtId="171" fontId="24" fillId="4" borderId="0" xfId="0" applyNumberFormat="1" applyFont="1" applyFill="1"/>
    <xf numFmtId="0" fontId="24" fillId="4" borderId="0" xfId="0" applyFont="1" applyFill="1"/>
    <xf numFmtId="0" fontId="4" fillId="4" borderId="0" xfId="0" applyFont="1" applyFill="1"/>
    <xf numFmtId="167" fontId="71" fillId="3" borderId="7" xfId="24" applyNumberFormat="1" applyFont="1" applyFill="1" applyBorder="1" applyAlignment="1">
      <alignment horizontal="center" vertical="center" wrapText="1"/>
    </xf>
    <xf numFmtId="0" fontId="47" fillId="0" borderId="0" xfId="0" applyFont="1"/>
    <xf numFmtId="0" fontId="55" fillId="0" borderId="0" xfId="0" applyFont="1"/>
    <xf numFmtId="0" fontId="47" fillId="0" borderId="0" xfId="11" applyFont="1"/>
    <xf numFmtId="0" fontId="47" fillId="0" borderId="0" xfId="11" applyFont="1" applyAlignment="1">
      <alignment horizontal="center"/>
    </xf>
    <xf numFmtId="167" fontId="47" fillId="0" borderId="0" xfId="24" applyNumberFormat="1" applyFont="1" applyFill="1" applyAlignment="1"/>
    <xf numFmtId="167" fontId="47" fillId="0" borderId="0" xfId="24" applyNumberFormat="1" applyFont="1" applyAlignment="1"/>
    <xf numFmtId="167" fontId="55" fillId="0" borderId="0" xfId="24" applyNumberFormat="1" applyFont="1" applyAlignment="1"/>
    <xf numFmtId="167" fontId="73" fillId="0" borderId="0" xfId="24" applyNumberFormat="1" applyFont="1" applyAlignment="1"/>
    <xf numFmtId="0" fontId="73" fillId="0" borderId="0" xfId="0" applyFont="1"/>
    <xf numFmtId="1" fontId="73" fillId="0" borderId="19" xfId="24" applyNumberFormat="1" applyFont="1" applyFill="1" applyBorder="1" applyAlignment="1">
      <alignment horizontal="center" vertical="center"/>
    </xf>
    <xf numFmtId="1" fontId="73" fillId="0" borderId="127" xfId="0" applyNumberFormat="1" applyFont="1" applyBorder="1" applyAlignment="1">
      <alignment horizontal="center" vertical="center"/>
    </xf>
    <xf numFmtId="1" fontId="73" fillId="0" borderId="57" xfId="0" applyNumberFormat="1" applyFont="1" applyBorder="1" applyAlignment="1">
      <alignment horizontal="center" vertical="center"/>
    </xf>
    <xf numFmtId="1" fontId="73" fillId="0" borderId="19" xfId="0" applyNumberFormat="1" applyFont="1" applyBorder="1" applyAlignment="1">
      <alignment horizontal="center" vertical="center"/>
    </xf>
    <xf numFmtId="1" fontId="73" fillId="0" borderId="20" xfId="0" applyNumberFormat="1" applyFont="1" applyBorder="1" applyAlignment="1">
      <alignment horizontal="center" vertical="center"/>
    </xf>
    <xf numFmtId="1" fontId="73" fillId="0" borderId="23" xfId="24" applyNumberFormat="1" applyFont="1" applyFill="1" applyBorder="1" applyAlignment="1">
      <alignment horizontal="center" vertical="center"/>
    </xf>
    <xf numFmtId="1" fontId="73" fillId="0" borderId="123" xfId="0" applyNumberFormat="1" applyFont="1" applyBorder="1" applyAlignment="1">
      <alignment horizontal="center" vertical="center"/>
    </xf>
    <xf numFmtId="1" fontId="73" fillId="0" borderId="41" xfId="0" applyNumberFormat="1" applyFont="1" applyBorder="1" applyAlignment="1">
      <alignment horizontal="center" vertical="center"/>
    </xf>
    <xf numFmtId="1" fontId="73" fillId="0" borderId="23" xfId="0" applyNumberFormat="1" applyFont="1" applyBorder="1" applyAlignment="1">
      <alignment horizontal="center" vertical="center"/>
    </xf>
    <xf numFmtId="1" fontId="73" fillId="0" borderId="125" xfId="0" applyNumberFormat="1" applyFont="1" applyBorder="1" applyAlignment="1">
      <alignment horizontal="center" vertical="center"/>
    </xf>
    <xf numFmtId="1" fontId="73" fillId="0" borderId="16" xfId="24" applyNumberFormat="1" applyFont="1" applyFill="1" applyBorder="1" applyAlignment="1">
      <alignment horizontal="center" vertical="center"/>
    </xf>
    <xf numFmtId="1" fontId="73" fillId="0" borderId="128" xfId="0" applyNumberFormat="1" applyFont="1" applyBorder="1" applyAlignment="1">
      <alignment horizontal="center" vertical="center"/>
    </xf>
    <xf numFmtId="1" fontId="73" fillId="0" borderId="42" xfId="0" applyNumberFormat="1" applyFont="1" applyBorder="1" applyAlignment="1">
      <alignment horizontal="center" vertical="center"/>
    </xf>
    <xf numFmtId="1" fontId="73" fillId="0" borderId="16" xfId="0" applyNumberFormat="1" applyFont="1" applyBorder="1" applyAlignment="1">
      <alignment horizontal="center" vertical="center"/>
    </xf>
    <xf numFmtId="1" fontId="73" fillId="0" borderId="126" xfId="0" applyNumberFormat="1" applyFont="1" applyBorder="1" applyAlignment="1">
      <alignment horizontal="center" vertical="center"/>
    </xf>
    <xf numFmtId="167" fontId="71" fillId="3" borderId="130" xfId="24" applyNumberFormat="1" applyFont="1" applyFill="1" applyBorder="1" applyAlignment="1">
      <alignment horizontal="center" vertical="center" wrapText="1"/>
    </xf>
    <xf numFmtId="167" fontId="71" fillId="3" borderId="132" xfId="24" applyNumberFormat="1" applyFont="1" applyFill="1" applyBorder="1" applyAlignment="1">
      <alignment horizontal="center" vertical="center" wrapText="1"/>
    </xf>
    <xf numFmtId="167" fontId="71" fillId="3" borderId="133" xfId="24" applyNumberFormat="1" applyFont="1" applyFill="1" applyBorder="1" applyAlignment="1">
      <alignment horizontal="center" vertical="center" wrapText="1"/>
    </xf>
    <xf numFmtId="167" fontId="71" fillId="3" borderId="131" xfId="24" applyNumberFormat="1" applyFont="1" applyFill="1" applyBorder="1" applyAlignment="1">
      <alignment horizontal="center" vertical="center" wrapText="1"/>
    </xf>
    <xf numFmtId="1" fontId="73" fillId="0" borderId="15" xfId="24" applyNumberFormat="1" applyFont="1" applyFill="1" applyBorder="1" applyAlignment="1">
      <alignment horizontal="center" vertical="center"/>
    </xf>
    <xf numFmtId="1" fontId="73" fillId="0" borderId="56" xfId="24" applyNumberFormat="1" applyFont="1" applyFill="1" applyBorder="1" applyAlignment="1">
      <alignment horizontal="center" vertical="center"/>
    </xf>
    <xf numFmtId="1" fontId="73" fillId="0" borderId="17" xfId="24" applyNumberFormat="1" applyFont="1" applyFill="1" applyBorder="1" applyAlignment="1">
      <alignment horizontal="center" vertical="center"/>
    </xf>
    <xf numFmtId="167" fontId="71" fillId="3" borderId="130" xfId="24" applyNumberFormat="1" applyFont="1" applyFill="1" applyBorder="1" applyAlignment="1">
      <alignment horizontal="center" vertical="center"/>
    </xf>
    <xf numFmtId="1" fontId="73" fillId="0" borderId="57" xfId="24" applyNumberFormat="1" applyFont="1" applyFill="1" applyBorder="1" applyAlignment="1">
      <alignment horizontal="center" vertical="center"/>
    </xf>
    <xf numFmtId="1" fontId="73" fillId="0" borderId="41" xfId="24" applyNumberFormat="1" applyFont="1" applyFill="1" applyBorder="1" applyAlignment="1">
      <alignment horizontal="center" vertical="center"/>
    </xf>
    <xf numFmtId="1" fontId="73" fillId="0" borderId="42" xfId="24" applyNumberFormat="1" applyFont="1" applyFill="1" applyBorder="1" applyAlignment="1">
      <alignment horizontal="center" vertical="center"/>
    </xf>
    <xf numFmtId="167" fontId="71" fillId="3" borderId="8" xfId="24" applyNumberFormat="1" applyFont="1" applyFill="1" applyBorder="1" applyAlignment="1">
      <alignment horizontal="center" vertical="center" wrapText="1"/>
    </xf>
    <xf numFmtId="42" fontId="13" fillId="4" borderId="73" xfId="0" applyNumberFormat="1" applyFont="1" applyFill="1" applyBorder="1" applyAlignment="1">
      <alignment horizontal="center" vertical="center"/>
    </xf>
    <xf numFmtId="42" fontId="13" fillId="4" borderId="11" xfId="0" applyNumberFormat="1" applyFont="1" applyFill="1" applyBorder="1" applyAlignment="1">
      <alignment horizontal="center" vertical="center"/>
    </xf>
    <xf numFmtId="42" fontId="13" fillId="4" borderId="78" xfId="0" applyNumberFormat="1" applyFont="1" applyFill="1" applyBorder="1" applyAlignment="1">
      <alignment horizontal="center" vertical="center"/>
    </xf>
    <xf numFmtId="42" fontId="13" fillId="4" borderId="83" xfId="0" applyNumberFormat="1" applyFont="1" applyFill="1" applyBorder="1" applyAlignment="1">
      <alignment horizontal="center" vertical="center"/>
    </xf>
    <xf numFmtId="42" fontId="13" fillId="2" borderId="97" xfId="0" applyNumberFormat="1" applyFont="1" applyFill="1" applyBorder="1" applyAlignment="1">
      <alignment horizontal="center" vertical="center"/>
    </xf>
    <xf numFmtId="1" fontId="13" fillId="4" borderId="11" xfId="0" applyNumberFormat="1" applyFont="1" applyFill="1" applyBorder="1" applyAlignment="1">
      <alignment horizontal="center" vertical="center"/>
    </xf>
    <xf numFmtId="1" fontId="13" fillId="4" borderId="73" xfId="0" applyNumberFormat="1" applyFont="1" applyFill="1" applyBorder="1" applyAlignment="1">
      <alignment horizontal="center" vertical="center"/>
    </xf>
    <xf numFmtId="1" fontId="13" fillId="4" borderId="78" xfId="0" applyNumberFormat="1" applyFont="1" applyFill="1" applyBorder="1" applyAlignment="1">
      <alignment horizontal="center" vertical="center"/>
    </xf>
    <xf numFmtId="1" fontId="85" fillId="8" borderId="12" xfId="0" applyNumberFormat="1" applyFont="1" applyFill="1" applyBorder="1" applyAlignment="1">
      <alignment horizontal="center" vertical="center"/>
    </xf>
    <xf numFmtId="0" fontId="3" fillId="4" borderId="0" xfId="0" applyFont="1" applyFill="1" applyAlignment="1">
      <alignment wrapText="1"/>
    </xf>
    <xf numFmtId="0" fontId="79" fillId="6" borderId="1" xfId="2" applyFont="1" applyFill="1" applyBorder="1" applyAlignment="1">
      <alignment horizontal="left" vertical="center"/>
    </xf>
    <xf numFmtId="0" fontId="79" fillId="6" borderId="14" xfId="2" applyFont="1" applyFill="1" applyBorder="1" applyAlignment="1">
      <alignment horizontal="left" vertical="center"/>
    </xf>
    <xf numFmtId="0" fontId="79" fillId="6" borderId="2" xfId="2" applyFont="1" applyFill="1" applyBorder="1" applyAlignment="1">
      <alignment horizontal="left" vertical="center"/>
    </xf>
    <xf numFmtId="167" fontId="71" fillId="3" borderId="7" xfId="24" applyNumberFormat="1" applyFont="1" applyFill="1" applyBorder="1" applyAlignment="1">
      <alignment horizontal="center" vertical="center" wrapText="1"/>
    </xf>
    <xf numFmtId="167" fontId="71" fillId="3" borderId="5" xfId="24" applyNumberFormat="1" applyFont="1" applyFill="1" applyBorder="1" applyAlignment="1">
      <alignment horizontal="center" vertical="center" wrapText="1"/>
    </xf>
    <xf numFmtId="167" fontId="71" fillId="3" borderId="10" xfId="24" applyNumberFormat="1" applyFont="1" applyFill="1" applyBorder="1" applyAlignment="1">
      <alignment horizontal="center" vertical="center" wrapText="1"/>
    </xf>
    <xf numFmtId="167" fontId="71" fillId="3" borderId="12" xfId="24" applyNumberFormat="1" applyFont="1" applyFill="1" applyBorder="1" applyAlignment="1">
      <alignment horizontal="center" vertical="center" wrapText="1"/>
    </xf>
    <xf numFmtId="167" fontId="71" fillId="3" borderId="1" xfId="24" applyNumberFormat="1" applyFont="1" applyFill="1" applyBorder="1" applyAlignment="1">
      <alignment horizontal="center" vertical="center" wrapText="1"/>
    </xf>
    <xf numFmtId="167" fontId="71" fillId="3" borderId="14" xfId="24" applyNumberFormat="1" applyFont="1" applyFill="1" applyBorder="1" applyAlignment="1">
      <alignment horizontal="center" vertical="center" wrapText="1"/>
    </xf>
    <xf numFmtId="167" fontId="71" fillId="3" borderId="2" xfId="24" applyNumberFormat="1" applyFont="1" applyFill="1" applyBorder="1" applyAlignment="1">
      <alignment horizontal="center" vertical="center" wrapText="1"/>
    </xf>
    <xf numFmtId="0" fontId="0" fillId="7" borderId="1" xfId="0" applyFill="1" applyBorder="1" applyAlignment="1">
      <alignment vertical="center"/>
    </xf>
    <xf numFmtId="0" fontId="0" fillId="7" borderId="14" xfId="0" applyFill="1" applyBorder="1" applyAlignment="1">
      <alignment vertical="center"/>
    </xf>
    <xf numFmtId="0" fontId="0" fillId="7" borderId="2" xfId="0" applyFill="1" applyBorder="1" applyAlignment="1">
      <alignment vertical="center"/>
    </xf>
    <xf numFmtId="0" fontId="3" fillId="7" borderId="1" xfId="0" applyFont="1" applyFill="1" applyBorder="1" applyAlignment="1">
      <alignment horizontal="left" vertical="center"/>
    </xf>
    <xf numFmtId="0" fontId="3" fillId="7" borderId="14" xfId="0" applyFont="1" applyFill="1" applyBorder="1" applyAlignment="1">
      <alignment horizontal="left" vertical="center"/>
    </xf>
    <xf numFmtId="0" fontId="3" fillId="7" borderId="2" xfId="0" applyFont="1" applyFill="1" applyBorder="1" applyAlignment="1">
      <alignment horizontal="left" vertical="center"/>
    </xf>
    <xf numFmtId="0" fontId="58" fillId="3" borderId="95" xfId="0" applyFont="1" applyFill="1" applyBorder="1" applyAlignment="1">
      <alignment horizontal="center" vertical="center" wrapText="1"/>
    </xf>
    <xf numFmtId="0" fontId="58" fillId="3" borderId="96" xfId="0" applyFont="1" applyFill="1" applyBorder="1" applyAlignment="1">
      <alignment horizontal="center" vertical="center" wrapText="1"/>
    </xf>
    <xf numFmtId="0" fontId="58" fillId="3" borderId="101" xfId="0" applyFont="1" applyFill="1" applyBorder="1" applyAlignment="1">
      <alignment horizontal="center" vertical="center" wrapText="1"/>
    </xf>
    <xf numFmtId="42" fontId="13" fillId="0" borderId="113" xfId="0" applyNumberFormat="1" applyFont="1" applyBorder="1" applyAlignment="1">
      <alignment horizontal="center" vertical="center"/>
    </xf>
    <xf numFmtId="42" fontId="13" fillId="0" borderId="114" xfId="0" applyNumberFormat="1" applyFont="1" applyBorder="1" applyAlignment="1">
      <alignment horizontal="center" vertical="center"/>
    </xf>
    <xf numFmtId="42" fontId="13" fillId="0" borderId="106" xfId="0" applyNumberFormat="1" applyFont="1" applyBorder="1" applyAlignment="1">
      <alignment horizontal="center" vertical="center"/>
    </xf>
    <xf numFmtId="42" fontId="13" fillId="0" borderId="105" xfId="0" applyNumberFormat="1" applyFont="1" applyBorder="1" applyAlignment="1">
      <alignment horizontal="center" vertical="center"/>
    </xf>
    <xf numFmtId="167" fontId="13" fillId="14" borderId="112" xfId="0" applyNumberFormat="1" applyFont="1" applyFill="1" applyBorder="1" applyAlignment="1">
      <alignment horizontal="center" vertical="center"/>
    </xf>
    <xf numFmtId="167" fontId="13" fillId="14" borderId="88" xfId="0" applyNumberFormat="1" applyFont="1" applyFill="1" applyBorder="1" applyAlignment="1">
      <alignment horizontal="center" vertical="center"/>
    </xf>
    <xf numFmtId="42" fontId="13" fillId="0" borderId="112" xfId="0" applyNumberFormat="1" applyFont="1" applyBorder="1" applyAlignment="1">
      <alignment horizontal="center" vertical="center"/>
    </xf>
    <xf numFmtId="42" fontId="13" fillId="0" borderId="88" xfId="0" applyNumberFormat="1" applyFont="1" applyBorder="1" applyAlignment="1">
      <alignment horizontal="center" vertical="center"/>
    </xf>
    <xf numFmtId="0" fontId="3" fillId="4" borderId="0" xfId="0" applyFont="1" applyFill="1" applyAlignment="1">
      <alignment horizontal="right"/>
    </xf>
    <xf numFmtId="0" fontId="0" fillId="0" borderId="3" xfId="0" applyBorder="1" applyAlignment="1">
      <alignment horizontal="left" vertical="center" wrapText="1" indent="1"/>
    </xf>
    <xf numFmtId="0" fontId="0" fillId="0" borderId="0" xfId="0" applyAlignment="1">
      <alignment horizontal="left" vertical="center" indent="1"/>
    </xf>
    <xf numFmtId="167" fontId="13" fillId="14" borderId="113" xfId="0" applyNumberFormat="1" applyFont="1" applyFill="1" applyBorder="1" applyAlignment="1">
      <alignment horizontal="center" vertical="center"/>
    </xf>
    <xf numFmtId="167" fontId="13" fillId="14" borderId="106" xfId="0" applyNumberFormat="1" applyFont="1" applyFill="1" applyBorder="1" applyAlignment="1">
      <alignment horizontal="center" vertical="center"/>
    </xf>
    <xf numFmtId="42" fontId="11" fillId="0" borderId="118" xfId="0" applyNumberFormat="1" applyFont="1" applyBorder="1" applyAlignment="1">
      <alignment horizontal="center" vertical="center"/>
    </xf>
    <xf numFmtId="42" fontId="11" fillId="0" borderId="112" xfId="0" applyNumberFormat="1" applyFont="1" applyBorder="1" applyAlignment="1">
      <alignment horizontal="center" vertical="center"/>
    </xf>
    <xf numFmtId="42" fontId="11" fillId="0" borderId="69" xfId="0" applyNumberFormat="1" applyFont="1" applyBorder="1" applyAlignment="1">
      <alignment horizontal="center" vertical="center"/>
    </xf>
    <xf numFmtId="42" fontId="11" fillId="0" borderId="88" xfId="0" applyNumberFormat="1" applyFont="1" applyBorder="1" applyAlignment="1">
      <alignment horizontal="center" vertical="center"/>
    </xf>
    <xf numFmtId="0" fontId="0" fillId="14" borderId="9" xfId="0" applyFill="1" applyBorder="1" applyAlignment="1">
      <alignment horizontal="center" vertical="center"/>
    </xf>
    <xf numFmtId="0" fontId="0" fillId="14" borderId="69" xfId="0" applyFill="1" applyBorder="1" applyAlignment="1">
      <alignment horizontal="center" vertical="center"/>
    </xf>
    <xf numFmtId="167" fontId="13" fillId="14" borderId="114" xfId="0" applyNumberFormat="1" applyFont="1" applyFill="1" applyBorder="1" applyAlignment="1">
      <alignment horizontal="center" vertical="center"/>
    </xf>
    <xf numFmtId="167" fontId="13" fillId="14" borderId="105" xfId="0" applyNumberFormat="1" applyFont="1" applyFill="1" applyBorder="1" applyAlignment="1">
      <alignment horizontal="center" vertical="center"/>
    </xf>
    <xf numFmtId="0" fontId="3" fillId="3" borderId="1" xfId="0" applyFont="1" applyFill="1" applyBorder="1" applyAlignment="1">
      <alignment horizontal="left" vertical="center"/>
    </xf>
    <xf numFmtId="0" fontId="3" fillId="3" borderId="14" xfId="0" applyFont="1" applyFill="1" applyBorder="1" applyAlignment="1">
      <alignment horizontal="left" vertical="center"/>
    </xf>
    <xf numFmtId="0" fontId="3" fillId="3" borderId="2" xfId="0" applyFont="1" applyFill="1" applyBorder="1" applyAlignment="1">
      <alignment horizontal="left" vertical="center"/>
    </xf>
    <xf numFmtId="171" fontId="0" fillId="4" borderId="11" xfId="0" applyNumberFormat="1" applyFill="1" applyBorder="1" applyAlignment="1">
      <alignment horizontal="center" vertical="center"/>
    </xf>
    <xf numFmtId="171" fontId="0" fillId="4" borderId="4" xfId="0" applyNumberFormat="1" applyFill="1" applyBorder="1" applyAlignment="1">
      <alignment horizontal="center" vertical="center"/>
    </xf>
    <xf numFmtId="171" fontId="0" fillId="0" borderId="119" xfId="0" applyNumberFormat="1" applyBorder="1" applyAlignment="1">
      <alignment horizontal="center" vertical="center"/>
    </xf>
    <xf numFmtId="171" fontId="0" fillId="0" borderId="120" xfId="0" applyNumberFormat="1" applyBorder="1" applyAlignment="1">
      <alignment horizontal="center" vertical="center"/>
    </xf>
    <xf numFmtId="171" fontId="0" fillId="0" borderId="121" xfId="0" applyNumberFormat="1" applyBorder="1" applyAlignment="1">
      <alignment horizontal="center" vertical="center"/>
    </xf>
    <xf numFmtId="171" fontId="0" fillId="0" borderId="122" xfId="0" applyNumberFormat="1" applyBorder="1" applyAlignment="1">
      <alignment horizontal="center" vertical="center"/>
    </xf>
    <xf numFmtId="171" fontId="0" fillId="0" borderId="51" xfId="0" applyNumberFormat="1" applyBorder="1" applyAlignment="1">
      <alignment horizontal="center" vertical="center"/>
    </xf>
    <xf numFmtId="171" fontId="0" fillId="0" borderId="52" xfId="0" applyNumberFormat="1" applyBorder="1" applyAlignment="1">
      <alignment horizontal="center" vertical="center"/>
    </xf>
    <xf numFmtId="168" fontId="24" fillId="0" borderId="53" xfId="0" applyNumberFormat="1" applyFont="1" applyBorder="1" applyAlignment="1">
      <alignment horizontal="center" vertical="center"/>
    </xf>
    <xf numFmtId="168" fontId="24" fillId="0" borderId="54" xfId="0" applyNumberFormat="1" applyFont="1" applyBorder="1" applyAlignment="1">
      <alignment horizontal="center" vertical="center"/>
    </xf>
    <xf numFmtId="168" fontId="24" fillId="0" borderId="55" xfId="0" applyNumberFormat="1" applyFont="1" applyBorder="1" applyAlignment="1">
      <alignment horizontal="center" vertical="center"/>
    </xf>
    <xf numFmtId="171" fontId="3" fillId="4" borderId="11" xfId="0" applyNumberFormat="1" applyFont="1" applyFill="1" applyBorder="1" applyAlignment="1">
      <alignment horizontal="center" vertical="center"/>
    </xf>
    <xf numFmtId="171" fontId="55" fillId="4" borderId="10" xfId="0" applyNumberFormat="1" applyFont="1" applyFill="1" applyBorder="1" applyAlignment="1">
      <alignment horizontal="center" vertical="center"/>
    </xf>
    <xf numFmtId="171" fontId="55" fillId="4" borderId="11" xfId="0" applyNumberFormat="1" applyFont="1" applyFill="1" applyBorder="1" applyAlignment="1">
      <alignment horizontal="center" vertical="center"/>
    </xf>
    <xf numFmtId="171" fontId="55" fillId="4" borderId="49" xfId="0" applyNumberFormat="1" applyFont="1" applyFill="1" applyBorder="1" applyAlignment="1">
      <alignment horizontal="center" vertical="center"/>
    </xf>
    <xf numFmtId="171" fontId="0" fillId="4" borderId="10" xfId="0" applyNumberFormat="1" applyFill="1" applyBorder="1" applyAlignment="1">
      <alignment horizontal="center" vertical="center"/>
    </xf>
    <xf numFmtId="171" fontId="0" fillId="4" borderId="49" xfId="0" applyNumberFormat="1" applyFill="1" applyBorder="1" applyAlignment="1">
      <alignment horizontal="center" vertical="center"/>
    </xf>
    <xf numFmtId="171" fontId="55" fillId="4" borderId="8" xfId="0" applyNumberFormat="1" applyFont="1" applyFill="1" applyBorder="1" applyAlignment="1">
      <alignment horizontal="center" vertical="center"/>
    </xf>
    <xf numFmtId="171" fontId="55" fillId="4" borderId="4" xfId="0" applyNumberFormat="1" applyFont="1" applyFill="1" applyBorder="1" applyAlignment="1">
      <alignment horizontal="center" vertical="center"/>
    </xf>
    <xf numFmtId="171" fontId="55" fillId="4" borderId="27" xfId="0" applyNumberFormat="1" applyFont="1" applyFill="1" applyBorder="1" applyAlignment="1">
      <alignment horizontal="center" vertical="center"/>
    </xf>
    <xf numFmtId="168" fontId="24" fillId="0" borderId="50" xfId="0" applyNumberFormat="1" applyFont="1" applyBorder="1" applyAlignment="1">
      <alignment horizontal="center" vertical="center"/>
    </xf>
    <xf numFmtId="168" fontId="24" fillId="0" borderId="51" xfId="0" applyNumberFormat="1" applyFont="1" applyBorder="1" applyAlignment="1">
      <alignment horizontal="center" vertical="center"/>
    </xf>
    <xf numFmtId="168" fontId="24" fillId="0" borderId="52" xfId="0" applyNumberFormat="1" applyFont="1" applyBorder="1" applyAlignment="1">
      <alignment horizontal="center" vertical="center"/>
    </xf>
  </cellXfs>
  <cellStyles count="40">
    <cellStyle name="Accent5" xfId="4" builtinId="45"/>
    <cellStyle name="Hyperlink" xfId="31" builtinId="8"/>
    <cellStyle name="Komma 2" xfId="5" xr:uid="{00000000-0005-0000-0000-000002000000}"/>
    <cellStyle name="Normal 2" xfId="30" xr:uid="{3556A419-6CC9-4AC9-96EA-5AA1E031BDC1}"/>
    <cellStyle name="Normal 2 2" xfId="32" xr:uid="{348A7770-5638-4340-BC5D-D23C5F3DA0CB}"/>
    <cellStyle name="Ongeldig" xfId="25" builtinId="27"/>
    <cellStyle name="Procent" xfId="35" builtinId="5"/>
    <cellStyle name="Procent 2" xfId="8" xr:uid="{00000000-0005-0000-0000-000003000000}"/>
    <cellStyle name="Procent 2 2" xfId="14" xr:uid="{00000000-0005-0000-0000-000004000000}"/>
    <cellStyle name="Procent 2 3" xfId="28" xr:uid="{F34E5A1B-4F2F-47F3-8506-CDE8107E33D2}"/>
    <cellStyle name="Procent 2 3 2" xfId="34" xr:uid="{34364B9D-E582-4CA1-A8BD-CDE37F8E8812}"/>
    <cellStyle name="Procent 3" xfId="12" xr:uid="{00000000-0005-0000-0000-000005000000}"/>
    <cellStyle name="Procent 4" xfId="19" xr:uid="{00000000-0005-0000-0000-000006000000}"/>
    <cellStyle name="Procent 4 2" xfId="22" xr:uid="{00000000-0005-0000-0000-000007000000}"/>
    <cellStyle name="Standaard" xfId="0" builtinId="0"/>
    <cellStyle name="Standaard 2" xfId="1" xr:uid="{00000000-0005-0000-0000-000009000000}"/>
    <cellStyle name="Standaard 2 2" xfId="2" xr:uid="{00000000-0005-0000-0000-00000A000000}"/>
    <cellStyle name="Standaard 2 3" xfId="26" xr:uid="{7977CBFE-E981-47C1-B7DB-5F20C05FA345}"/>
    <cellStyle name="Standaard 2 3 2" xfId="33" xr:uid="{90448184-ED56-4BE4-B68B-9978604291CF}"/>
    <cellStyle name="Standaard 2 4" xfId="36" xr:uid="{696AA977-B21F-4AC2-B3B1-A1C75867DDA8}"/>
    <cellStyle name="Standaard 3" xfId="6" xr:uid="{00000000-0005-0000-0000-00000B000000}"/>
    <cellStyle name="Standaard 3 2" xfId="16" xr:uid="{00000000-0005-0000-0000-00000C000000}"/>
    <cellStyle name="Standaard 4" xfId="9" xr:uid="{00000000-0005-0000-0000-00000D000000}"/>
    <cellStyle name="Standaard 5" xfId="10" xr:uid="{00000000-0005-0000-0000-00000E000000}"/>
    <cellStyle name="Standaard 5 2" xfId="13" xr:uid="{00000000-0005-0000-0000-00000F000000}"/>
    <cellStyle name="Standaard 5 3" xfId="23" xr:uid="{00000000-0005-0000-0000-000010000000}"/>
    <cellStyle name="Standaard 5 3 2" xfId="37" xr:uid="{9C20B312-337A-45DC-9A87-A2C25EE5D512}"/>
    <cellStyle name="Standaard 6" xfId="11" xr:uid="{00000000-0005-0000-0000-000011000000}"/>
    <cellStyle name="Standaard 7" xfId="17" xr:uid="{00000000-0005-0000-0000-000012000000}"/>
    <cellStyle name="Standaard 7 2" xfId="20" xr:uid="{00000000-0005-0000-0000-000013000000}"/>
    <cellStyle name="Standaard 8" xfId="29" xr:uid="{0A56D6A2-EABA-477C-A5AC-8B8C31EAF7EA}"/>
    <cellStyle name="Standaard_2010-2011" xfId="3" xr:uid="{00000000-0005-0000-0000-000014000000}"/>
    <cellStyle name="Valuta" xfId="24" builtinId="4"/>
    <cellStyle name="Valuta 2" xfId="7" xr:uid="{00000000-0005-0000-0000-000016000000}"/>
    <cellStyle name="Valuta 2 2" xfId="15" xr:uid="{00000000-0005-0000-0000-000017000000}"/>
    <cellStyle name="Valuta 2 3" xfId="27" xr:uid="{F63DEAAA-F762-4669-9B1E-707012C93984}"/>
    <cellStyle name="Valuta 2 3 2" xfId="39" xr:uid="{ACB58F3A-6D44-4E15-8960-352C978BCCB5}"/>
    <cellStyle name="Valuta 3" xfId="18" xr:uid="{00000000-0005-0000-0000-000018000000}"/>
    <cellStyle name="Valuta 3 2" xfId="21" xr:uid="{00000000-0005-0000-0000-000019000000}"/>
    <cellStyle name="Valuta 4" xfId="38" xr:uid="{0559654C-6431-442A-85B4-908CACB265CA}"/>
  </cellStyles>
  <dxfs count="15">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D8E4BC"/>
      <color rgb="FFBFF3D8"/>
      <color rgb="FF209F82"/>
      <color rgb="FFFF0000"/>
      <color rgb="FF007B5F"/>
      <color rgb="FFE3F9F4"/>
      <color rgb="FF76E4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Claire Verberck" id="{F534870C-220B-4C8D-BFBC-F46079CF5684}" userId="S::claire.verberck@antwerpen.be::80749ca4-5c52-4589-a94b-459a89c3cb33"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5" dT="2025-07-09T08:09:16.64" personId="{F534870C-220B-4C8D-BFBC-F46079CF5684}" id="{B63CE5B1-1A56-4BBC-BA3C-A34D4FD395D2}">
    <text>Als je maar één prijs krijgt, moet je deze invullen bij isolatie, maar er gebeurd een overschatting.</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belfius.be/common/NL/multimedia/MMDownloadableFile/Business/Financing/MMI%20krediet%20VME.pdf" TargetMode="External"/><Relationship Id="rId7" Type="http://schemas.openxmlformats.org/officeDocument/2006/relationships/hyperlink" Target="https://atradius.be/nl_BE/mede-eigendom" TargetMode="External"/><Relationship Id="rId2" Type="http://schemas.openxmlformats.org/officeDocument/2006/relationships/hyperlink" Target="https://www.elantis.be/nl/mede-eigendomskrediet/" TargetMode="External"/><Relationship Id="rId1" Type="http://schemas.openxmlformats.org/officeDocument/2006/relationships/hyperlink" Target="https://www.kbc.be/ondernemen/nl/product/kredieten/renovatiekrediet-voor-vme.html" TargetMode="External"/><Relationship Id="rId6" Type="http://schemas.openxmlformats.org/officeDocument/2006/relationships/hyperlink" Target="https://www.bnpparibasfortis.be/nl/public/ondernemers/dagelijks-bankieren/vereniging-van-mede-eigenaars" TargetMode="External"/><Relationship Id="rId5" Type="http://schemas.openxmlformats.org/officeDocument/2006/relationships/hyperlink" Target="https://www.triodos.be/nl/hypothecaire-lening" TargetMode="External"/><Relationship Id="rId4" Type="http://schemas.openxmlformats.org/officeDocument/2006/relationships/hyperlink" Target="https://www.maesgroup.be/vme-krediet-voor-mede-eigendom/"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s://www.belfius.be/common/NL/multimedia/MMDownloadableFile/Business/Financing/MMI%20krediet%20VME.pdf" TargetMode="External"/><Relationship Id="rId7" Type="http://schemas.openxmlformats.org/officeDocument/2006/relationships/hyperlink" Target="https://atradius.be/nl_BE/mede-eigendom" TargetMode="External"/><Relationship Id="rId2" Type="http://schemas.openxmlformats.org/officeDocument/2006/relationships/hyperlink" Target="https://www.elantis.be/nl/mede-eigendomskrediet/" TargetMode="External"/><Relationship Id="rId1" Type="http://schemas.openxmlformats.org/officeDocument/2006/relationships/hyperlink" Target="https://www.kbc.be/ondernemen/nl/product/kredieten/renovatiekrediet-voor-vme.html" TargetMode="External"/><Relationship Id="rId6" Type="http://schemas.openxmlformats.org/officeDocument/2006/relationships/hyperlink" Target="https://www.bnpparibasfortis.be/nl/public/ondernemers/dagelijks-bankieren/vereniging-van-mede-eigenaars" TargetMode="External"/><Relationship Id="rId5" Type="http://schemas.openxmlformats.org/officeDocument/2006/relationships/hyperlink" Target="https://www.triodos.be/nl/hypothecaire-lening" TargetMode="External"/><Relationship Id="rId4" Type="http://schemas.openxmlformats.org/officeDocument/2006/relationships/hyperlink" Target="https://www.maesgroup.be/vme-krediet-voor-mede-eigend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EE443-22A9-40EB-BE13-9924E5F7CF21}">
  <sheetPr>
    <tabColor theme="5"/>
  </sheetPr>
  <dimension ref="A1:A30"/>
  <sheetViews>
    <sheetView topLeftCell="A13" zoomScaleNormal="100" workbookViewId="0">
      <selection activeCell="K28" sqref="K28"/>
    </sheetView>
  </sheetViews>
  <sheetFormatPr defaultColWidth="9.140625" defaultRowHeight="15" x14ac:dyDescent="0.25"/>
  <cols>
    <col min="1" max="1" width="146" style="167" customWidth="1"/>
    <col min="2" max="16384" width="9.140625" style="4"/>
  </cols>
  <sheetData>
    <row r="1" spans="1:1" s="171" customFormat="1" ht="21" x14ac:dyDescent="0.35">
      <c r="A1" s="154" t="s">
        <v>211</v>
      </c>
    </row>
    <row r="3" spans="1:1" ht="30" x14ac:dyDescent="0.25">
      <c r="A3" s="167" t="s">
        <v>0</v>
      </c>
    </row>
    <row r="4" spans="1:1" ht="135" x14ac:dyDescent="0.25">
      <c r="A4" s="168" t="s">
        <v>1</v>
      </c>
    </row>
    <row r="5" spans="1:1" x14ac:dyDescent="0.25">
      <c r="A5" s="155" t="s">
        <v>2</v>
      </c>
    </row>
    <row r="6" spans="1:1" ht="60" x14ac:dyDescent="0.25">
      <c r="A6" s="156" t="s">
        <v>203</v>
      </c>
    </row>
    <row r="7" spans="1:1" ht="135" x14ac:dyDescent="0.25">
      <c r="A7" s="156" t="s">
        <v>208</v>
      </c>
    </row>
    <row r="8" spans="1:1" x14ac:dyDescent="0.25">
      <c r="A8" s="155" t="s">
        <v>200</v>
      </c>
    </row>
    <row r="9" spans="1:1" ht="75" x14ac:dyDescent="0.25">
      <c r="A9" s="156" t="s">
        <v>201</v>
      </c>
    </row>
    <row r="10" spans="1:1" ht="300" x14ac:dyDescent="0.25">
      <c r="A10" s="169" t="s">
        <v>212</v>
      </c>
    </row>
    <row r="11" spans="1:1" x14ac:dyDescent="0.25">
      <c r="A11" s="155" t="s">
        <v>3</v>
      </c>
    </row>
    <row r="12" spans="1:1" ht="75" x14ac:dyDescent="0.25">
      <c r="A12" s="156" t="s">
        <v>207</v>
      </c>
    </row>
    <row r="13" spans="1:1" ht="210" x14ac:dyDescent="0.25">
      <c r="A13" s="169" t="s">
        <v>209</v>
      </c>
    </row>
    <row r="14" spans="1:1" x14ac:dyDescent="0.25">
      <c r="A14" s="158" t="s">
        <v>196</v>
      </c>
    </row>
    <row r="15" spans="1:1" ht="195" x14ac:dyDescent="0.25">
      <c r="A15" s="169" t="s">
        <v>4</v>
      </c>
    </row>
    <row r="16" spans="1:1" ht="135" x14ac:dyDescent="0.25">
      <c r="A16" s="156" t="s">
        <v>210</v>
      </c>
    </row>
    <row r="17" spans="1:1" x14ac:dyDescent="0.25">
      <c r="A17" s="158" t="s">
        <v>197</v>
      </c>
    </row>
    <row r="18" spans="1:1" ht="60" x14ac:dyDescent="0.25">
      <c r="A18" s="157" t="s">
        <v>5</v>
      </c>
    </row>
    <row r="19" spans="1:1" x14ac:dyDescent="0.25">
      <c r="A19" s="158" t="s">
        <v>198</v>
      </c>
    </row>
    <row r="20" spans="1:1" ht="60" x14ac:dyDescent="0.25">
      <c r="A20" s="170" t="s">
        <v>6</v>
      </c>
    </row>
    <row r="21" spans="1:1" x14ac:dyDescent="0.25">
      <c r="A21" s="158" t="s">
        <v>199</v>
      </c>
    </row>
    <row r="22" spans="1:1" ht="60" x14ac:dyDescent="0.25">
      <c r="A22" s="170" t="s">
        <v>7</v>
      </c>
    </row>
    <row r="27" spans="1:1" ht="15.75" thickBot="1" x14ac:dyDescent="0.3"/>
    <row r="28" spans="1:1" ht="76.5" thickTop="1" thickBot="1" x14ac:dyDescent="0.3">
      <c r="A28" s="172" t="s">
        <v>8</v>
      </c>
    </row>
    <row r="29" spans="1:1" ht="15.75" thickTop="1" x14ac:dyDescent="0.25"/>
    <row r="30" spans="1:1" x14ac:dyDescent="0.25">
      <c r="A30" s="453"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249977111117893"/>
  </sheetPr>
  <dimension ref="A1:M85"/>
  <sheetViews>
    <sheetView topLeftCell="A129" workbookViewId="0">
      <selection activeCell="C39" sqref="C39"/>
    </sheetView>
  </sheetViews>
  <sheetFormatPr defaultColWidth="9.140625" defaultRowHeight="12.75" x14ac:dyDescent="0.2"/>
  <cols>
    <col min="1" max="1" width="1.42578125" style="188" customWidth="1"/>
    <col min="2" max="2" width="42.7109375" style="166" customWidth="1"/>
    <col min="3" max="6" width="32.85546875" style="166" customWidth="1"/>
    <col min="7" max="16384" width="9.140625" style="166"/>
  </cols>
  <sheetData>
    <row r="1" spans="1:13" ht="7.5" customHeight="1" thickBot="1" x14ac:dyDescent="0.25"/>
    <row r="2" spans="1:13" s="195" customFormat="1" ht="16.5" thickBot="1" x14ac:dyDescent="0.3">
      <c r="A2" s="239"/>
      <c r="B2" s="454" t="s">
        <v>204</v>
      </c>
      <c r="C2" s="455"/>
      <c r="D2" s="455"/>
      <c r="E2" s="455"/>
      <c r="F2" s="456"/>
      <c r="M2" s="240"/>
    </row>
    <row r="3" spans="1:13" ht="13.5" thickBot="1" x14ac:dyDescent="0.25">
      <c r="A3" s="206"/>
      <c r="B3" s="247"/>
      <c r="C3" s="247" t="s">
        <v>9</v>
      </c>
      <c r="D3" s="248" t="s">
        <v>10</v>
      </c>
      <c r="E3" s="248" t="s">
        <v>11</v>
      </c>
    </row>
    <row r="4" spans="1:13" x14ac:dyDescent="0.2">
      <c r="A4" s="206"/>
      <c r="B4" s="234" t="s">
        <v>12</v>
      </c>
      <c r="C4" s="249">
        <f>SUMIF(B11:B30,"Wooneenheid",E11:E30)</f>
        <v>10</v>
      </c>
      <c r="D4" s="235">
        <f>SUMIF(B11:B30,B4,F11:F30)</f>
        <v>960</v>
      </c>
      <c r="E4" s="235" cm="1">
        <f t="array" ref="E4">INDEX(D11:D30, MATCH(MAX((B11:B30="Wooneenheid")*(E11:E30)), (B11:B30="Wooneenheid")*(E11:E30), 0))</f>
        <v>100</v>
      </c>
    </row>
    <row r="5" spans="1:13" ht="15.75" customHeight="1" thickBot="1" x14ac:dyDescent="0.25">
      <c r="A5" s="206"/>
      <c r="B5" s="236" t="s">
        <v>13</v>
      </c>
      <c r="C5" s="237">
        <f>SUMIF(B11:B30,"Geen wooneenheid",E11:E30)</f>
        <v>5</v>
      </c>
      <c r="D5" s="238">
        <f>SUMIF(B11:B30,B5,F11:F30)</f>
        <v>40</v>
      </c>
      <c r="E5" s="238" cm="1">
        <f t="array" ref="E5">INDEX(D11:D30,MATCH(MAX(IF(B11:B30="Geen wooneenheid",E11:E30,0)),E11:E30,0))</f>
        <v>8</v>
      </c>
    </row>
    <row r="6" spans="1:13" ht="20.25" customHeight="1" thickBot="1" x14ac:dyDescent="0.25">
      <c r="A6" s="206"/>
      <c r="B6" s="256" t="s">
        <v>14</v>
      </c>
      <c r="C6" s="245">
        <f>SUM(C4:C5)</f>
        <v>15</v>
      </c>
      <c r="D6" s="246">
        <f>SUM(F11:F30)</f>
        <v>1000</v>
      </c>
    </row>
    <row r="7" spans="1:13" x14ac:dyDescent="0.2">
      <c r="A7" s="199"/>
      <c r="E7" s="215"/>
    </row>
    <row r="8" spans="1:13" ht="13.5" thickBot="1" x14ac:dyDescent="0.25">
      <c r="A8" s="199"/>
    </row>
    <row r="9" spans="1:13" s="195" customFormat="1" ht="16.5" thickBot="1" x14ac:dyDescent="0.3">
      <c r="A9" s="239"/>
      <c r="B9" s="454" t="s">
        <v>205</v>
      </c>
      <c r="C9" s="455"/>
      <c r="D9" s="455"/>
      <c r="E9" s="455"/>
      <c r="F9" s="456"/>
      <c r="M9" s="240"/>
    </row>
    <row r="10" spans="1:13" ht="13.5" thickBot="1" x14ac:dyDescent="0.25">
      <c r="A10" s="199"/>
      <c r="B10" s="220" t="s">
        <v>15</v>
      </c>
      <c r="C10" s="221" t="s">
        <v>16</v>
      </c>
      <c r="D10" s="221" t="s">
        <v>17</v>
      </c>
      <c r="E10" s="200" t="s">
        <v>18</v>
      </c>
      <c r="F10" s="201" t="s">
        <v>19</v>
      </c>
    </row>
    <row r="11" spans="1:13" x14ac:dyDescent="0.2">
      <c r="A11" s="199"/>
      <c r="B11" s="222" t="s">
        <v>13</v>
      </c>
      <c r="C11" s="223" t="s">
        <v>20</v>
      </c>
      <c r="D11" s="396">
        <v>8</v>
      </c>
      <c r="E11" s="202">
        <v>5</v>
      </c>
      <c r="F11" s="203">
        <f t="shared" ref="F11:F19" si="0">E11*D11</f>
        <v>40</v>
      </c>
      <c r="M11" s="219"/>
    </row>
    <row r="12" spans="1:13" x14ac:dyDescent="0.2">
      <c r="A12" s="199"/>
      <c r="B12" s="224" t="s">
        <v>12</v>
      </c>
      <c r="C12" s="225" t="s">
        <v>21</v>
      </c>
      <c r="D12" s="209">
        <v>60</v>
      </c>
      <c r="E12" s="204">
        <v>2</v>
      </c>
      <c r="F12" s="205">
        <f t="shared" si="0"/>
        <v>120</v>
      </c>
      <c r="M12" s="219"/>
    </row>
    <row r="13" spans="1:13" x14ac:dyDescent="0.2">
      <c r="A13" s="206"/>
      <c r="B13" s="224" t="s">
        <v>12</v>
      </c>
      <c r="C13" s="225" t="s">
        <v>22</v>
      </c>
      <c r="D13" s="209">
        <v>100</v>
      </c>
      <c r="E13" s="204">
        <v>6</v>
      </c>
      <c r="F13" s="205">
        <f t="shared" si="0"/>
        <v>600</v>
      </c>
      <c r="M13" s="219"/>
    </row>
    <row r="14" spans="1:13" x14ac:dyDescent="0.2">
      <c r="A14" s="199"/>
      <c r="B14" s="224" t="s">
        <v>12</v>
      </c>
      <c r="C14" s="227" t="s">
        <v>23</v>
      </c>
      <c r="D14" s="207">
        <v>120</v>
      </c>
      <c r="E14" s="208">
        <v>2</v>
      </c>
      <c r="F14" s="205">
        <f t="shared" si="0"/>
        <v>240</v>
      </c>
      <c r="M14" s="219"/>
    </row>
    <row r="15" spans="1:13" x14ac:dyDescent="0.2">
      <c r="A15" s="199"/>
      <c r="B15" s="224"/>
      <c r="C15" s="227"/>
      <c r="D15" s="207"/>
      <c r="E15" s="208"/>
      <c r="F15" s="205">
        <f t="shared" si="0"/>
        <v>0</v>
      </c>
    </row>
    <row r="16" spans="1:13" x14ac:dyDescent="0.2">
      <c r="A16" s="199"/>
      <c r="B16" s="224"/>
      <c r="C16" s="227"/>
      <c r="D16" s="207"/>
      <c r="E16" s="208"/>
      <c r="F16" s="205">
        <f t="shared" si="0"/>
        <v>0</v>
      </c>
    </row>
    <row r="17" spans="1:6" x14ac:dyDescent="0.2">
      <c r="A17" s="199"/>
      <c r="B17" s="224"/>
      <c r="C17" s="227"/>
      <c r="D17" s="207"/>
      <c r="E17" s="208"/>
      <c r="F17" s="205">
        <f t="shared" si="0"/>
        <v>0</v>
      </c>
    </row>
    <row r="18" spans="1:6" x14ac:dyDescent="0.2">
      <c r="A18" s="199"/>
      <c r="B18" s="224"/>
      <c r="C18" s="227"/>
      <c r="D18" s="207"/>
      <c r="E18" s="208"/>
      <c r="F18" s="205">
        <f t="shared" si="0"/>
        <v>0</v>
      </c>
    </row>
    <row r="19" spans="1:6" x14ac:dyDescent="0.2">
      <c r="A19" s="199"/>
      <c r="B19" s="224"/>
      <c r="C19" s="227"/>
      <c r="D19" s="207"/>
      <c r="E19" s="208"/>
      <c r="F19" s="205">
        <f t="shared" si="0"/>
        <v>0</v>
      </c>
    </row>
    <row r="20" spans="1:6" x14ac:dyDescent="0.2">
      <c r="A20" s="199"/>
      <c r="B20" s="224"/>
      <c r="C20" s="227"/>
      <c r="D20" s="207"/>
      <c r="E20" s="208"/>
      <c r="F20" s="205">
        <f t="shared" ref="F20:F26" si="1">E20*D20</f>
        <v>0</v>
      </c>
    </row>
    <row r="21" spans="1:6" x14ac:dyDescent="0.2">
      <c r="A21" s="199"/>
      <c r="B21" s="224"/>
      <c r="C21" s="227"/>
      <c r="D21" s="207"/>
      <c r="E21" s="208"/>
      <c r="F21" s="205">
        <f t="shared" si="1"/>
        <v>0</v>
      </c>
    </row>
    <row r="22" spans="1:6" x14ac:dyDescent="0.2">
      <c r="A22" s="199"/>
      <c r="B22" s="224"/>
      <c r="C22" s="227"/>
      <c r="D22" s="207"/>
      <c r="E22" s="208"/>
      <c r="F22" s="205">
        <f t="shared" si="1"/>
        <v>0</v>
      </c>
    </row>
    <row r="23" spans="1:6" x14ac:dyDescent="0.2">
      <c r="A23" s="199"/>
      <c r="B23" s="224"/>
      <c r="C23" s="227"/>
      <c r="D23" s="207"/>
      <c r="E23" s="208"/>
      <c r="F23" s="205">
        <f t="shared" si="1"/>
        <v>0</v>
      </c>
    </row>
    <row r="24" spans="1:6" x14ac:dyDescent="0.2">
      <c r="A24" s="199"/>
      <c r="B24" s="224"/>
      <c r="C24" s="227"/>
      <c r="D24" s="209"/>
      <c r="E24" s="208"/>
      <c r="F24" s="205">
        <f t="shared" si="1"/>
        <v>0</v>
      </c>
    </row>
    <row r="25" spans="1:6" x14ac:dyDescent="0.2">
      <c r="A25" s="199"/>
      <c r="B25" s="224"/>
      <c r="C25" s="227"/>
      <c r="D25" s="207"/>
      <c r="E25" s="208"/>
      <c r="F25" s="205">
        <f t="shared" si="1"/>
        <v>0</v>
      </c>
    </row>
    <row r="26" spans="1:6" x14ac:dyDescent="0.2">
      <c r="A26" s="210"/>
      <c r="B26" s="224"/>
      <c r="C26" s="227"/>
      <c r="D26" s="207"/>
      <c r="E26" s="208"/>
      <c r="F26" s="205">
        <f t="shared" si="1"/>
        <v>0</v>
      </c>
    </row>
    <row r="27" spans="1:6" x14ac:dyDescent="0.2">
      <c r="A27" s="199"/>
      <c r="B27" s="224"/>
      <c r="C27" s="227"/>
      <c r="D27" s="209"/>
      <c r="E27" s="208"/>
      <c r="F27" s="205">
        <f>E27*D27</f>
        <v>0</v>
      </c>
    </row>
    <row r="28" spans="1:6" x14ac:dyDescent="0.2">
      <c r="A28" s="199"/>
      <c r="B28" s="224"/>
      <c r="C28" s="227"/>
      <c r="D28" s="207"/>
      <c r="E28" s="208"/>
      <c r="F28" s="205">
        <f>E28*D28</f>
        <v>0</v>
      </c>
    </row>
    <row r="29" spans="1:6" x14ac:dyDescent="0.2">
      <c r="A29" s="199"/>
      <c r="B29" s="224"/>
      <c r="C29" s="228"/>
      <c r="D29" s="226"/>
      <c r="E29" s="204"/>
      <c r="F29" s="205">
        <f>E29*D29</f>
        <v>0</v>
      </c>
    </row>
    <row r="30" spans="1:6" ht="13.5" thickBot="1" x14ac:dyDescent="0.25">
      <c r="A30" s="199"/>
      <c r="B30" s="229"/>
      <c r="C30" s="230"/>
      <c r="D30" s="231"/>
      <c r="E30" s="211"/>
      <c r="F30" s="212">
        <f>E30*D30</f>
        <v>0</v>
      </c>
    </row>
    <row r="31" spans="1:6" x14ac:dyDescent="0.2">
      <c r="A31" s="232"/>
      <c r="B31" s="232"/>
      <c r="C31" s="232"/>
      <c r="D31" s="233"/>
      <c r="E31" s="213"/>
      <c r="F31" s="214"/>
    </row>
    <row r="39" spans="1:2" x14ac:dyDescent="0.2">
      <c r="A39" s="199"/>
    </row>
    <row r="40" spans="1:2" x14ac:dyDescent="0.2">
      <c r="A40" s="199"/>
    </row>
    <row r="41" spans="1:2" x14ac:dyDescent="0.2">
      <c r="A41" s="199"/>
    </row>
    <row r="42" spans="1:2" x14ac:dyDescent="0.2">
      <c r="A42" s="199"/>
    </row>
    <row r="43" spans="1:2" x14ac:dyDescent="0.2">
      <c r="A43" s="199"/>
    </row>
    <row r="45" spans="1:2" x14ac:dyDescent="0.2">
      <c r="A45" s="199"/>
      <c r="B45" s="216"/>
    </row>
    <row r="46" spans="1:2" x14ac:dyDescent="0.2">
      <c r="A46" s="199"/>
      <c r="B46" s="216"/>
    </row>
    <row r="47" spans="1:2" x14ac:dyDescent="0.2">
      <c r="B47" s="216"/>
    </row>
    <row r="48" spans="1:2" x14ac:dyDescent="0.2">
      <c r="B48" s="216"/>
    </row>
    <row r="49" spans="1:2" x14ac:dyDescent="0.2">
      <c r="B49" s="216"/>
    </row>
    <row r="50" spans="1:2" x14ac:dyDescent="0.2">
      <c r="B50" s="216"/>
    </row>
    <row r="51" spans="1:2" x14ac:dyDescent="0.2">
      <c r="B51" s="216"/>
    </row>
    <row r="52" spans="1:2" x14ac:dyDescent="0.2">
      <c r="B52" s="216"/>
    </row>
    <row r="53" spans="1:2" x14ac:dyDescent="0.2">
      <c r="B53" s="216"/>
    </row>
    <row r="54" spans="1:2" x14ac:dyDescent="0.2">
      <c r="B54" s="216"/>
    </row>
    <row r="55" spans="1:2" x14ac:dyDescent="0.2">
      <c r="B55" s="216"/>
    </row>
    <row r="56" spans="1:2" x14ac:dyDescent="0.2">
      <c r="A56" s="199"/>
      <c r="B56" s="216"/>
    </row>
    <row r="57" spans="1:2" x14ac:dyDescent="0.2">
      <c r="A57" s="199"/>
      <c r="B57" s="216"/>
    </row>
    <row r="58" spans="1:2" x14ac:dyDescent="0.2">
      <c r="B58" s="216"/>
    </row>
    <row r="59" spans="1:2" x14ac:dyDescent="0.2">
      <c r="B59" s="217"/>
    </row>
    <row r="60" spans="1:2" x14ac:dyDescent="0.2">
      <c r="B60" s="216"/>
    </row>
    <row r="61" spans="1:2" x14ac:dyDescent="0.2">
      <c r="B61" s="218"/>
    </row>
    <row r="62" spans="1:2" x14ac:dyDescent="0.2">
      <c r="B62" s="218"/>
    </row>
    <row r="74" spans="1:1" x14ac:dyDescent="0.2">
      <c r="A74" s="199"/>
    </row>
    <row r="75" spans="1:1" x14ac:dyDescent="0.2">
      <c r="A75" s="199"/>
    </row>
    <row r="76" spans="1:1" x14ac:dyDescent="0.2">
      <c r="A76" s="199"/>
    </row>
    <row r="85" spans="1:1" x14ac:dyDescent="0.2">
      <c r="A85" s="199"/>
    </row>
  </sheetData>
  <autoFilter ref="B10:F30" xr:uid="{00000000-0001-0000-0000-000000000000}">
    <sortState xmlns:xlrd2="http://schemas.microsoft.com/office/spreadsheetml/2017/richdata2" ref="B11:F30">
      <sortCondition ref="D10:D30"/>
    </sortState>
  </autoFilter>
  <sortState xmlns:xlrd2="http://schemas.microsoft.com/office/spreadsheetml/2017/richdata2" ref="B12:F24">
    <sortCondition ref="B11:B24"/>
  </sortState>
  <mergeCells count="2">
    <mergeCell ref="B9:F9"/>
    <mergeCell ref="B2:F2"/>
  </mergeCells>
  <phoneticPr fontId="29" type="noConversion"/>
  <dataValidations count="2">
    <dataValidation type="list" allowBlank="1" showInputMessage="1" showErrorMessage="1" sqref="B3" xr:uid="{B1613250-FC7A-44CF-A4E0-547244483BDB}">
      <formula1>$B$57:$B$59</formula1>
    </dataValidation>
    <dataValidation type="list" allowBlank="1" showInputMessage="1" showErrorMessage="1" sqref="B11:B30" xr:uid="{D0CCCE9A-AD04-4B9B-8E6B-629C22C67FB8}">
      <formula1>"Wooneenheid, Geen wooneenheid"</formula1>
    </dataValidation>
  </dataValidations>
  <pageMargins left="0.7" right="0.7" top="0.75" bottom="0.75" header="0.3" footer="0.3"/>
  <pageSetup paperSize="9" scale="67" orientation="landscape" r:id="rId1"/>
  <rowBreaks count="1" manualBreakCount="1">
    <brk id="40" max="16383" man="1"/>
  </rowBreaks>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462D1-A60B-4605-A408-7D7117025068}">
  <sheetPr>
    <tabColor theme="4" tint="-0.249977111117893"/>
  </sheetPr>
  <dimension ref="A1:M45"/>
  <sheetViews>
    <sheetView tabSelected="1" zoomScale="96" zoomScaleNormal="96" workbookViewId="0">
      <selection activeCell="C6" sqref="C6"/>
    </sheetView>
  </sheetViews>
  <sheetFormatPr defaultColWidth="9.140625" defaultRowHeight="12.75" x14ac:dyDescent="0.2"/>
  <cols>
    <col min="1" max="1" width="1.42578125" style="166" customWidth="1"/>
    <col min="2" max="2" width="61" style="409" customWidth="1"/>
    <col min="3" max="3" width="39.7109375" style="409" customWidth="1"/>
    <col min="4" max="4" width="13.140625" style="409" customWidth="1"/>
    <col min="5" max="5" width="13.140625" style="414" customWidth="1"/>
    <col min="6" max="6" width="26.140625" style="196" customWidth="1"/>
    <col min="7" max="12" width="13.140625" style="409" customWidth="1"/>
    <col min="13" max="16384" width="9.140625" style="166"/>
  </cols>
  <sheetData>
    <row r="1" spans="1:13" ht="7.5" customHeight="1" thickBot="1" x14ac:dyDescent="0.25">
      <c r="B1" s="166"/>
      <c r="C1" s="166"/>
      <c r="D1" s="166"/>
      <c r="E1" s="186"/>
      <c r="F1" s="187"/>
      <c r="G1" s="166"/>
      <c r="H1" s="166"/>
      <c r="I1" s="166"/>
      <c r="J1" s="166"/>
      <c r="K1" s="166"/>
      <c r="L1" s="166"/>
    </row>
    <row r="2" spans="1:13" s="195" customFormat="1" ht="16.5" thickBot="1" x14ac:dyDescent="0.3">
      <c r="A2" s="239"/>
      <c r="B2" s="241" t="s">
        <v>24</v>
      </c>
      <c r="C2" s="242"/>
      <c r="D2" s="242"/>
      <c r="E2" s="242"/>
      <c r="F2" s="242"/>
      <c r="G2" s="242"/>
      <c r="H2" s="242"/>
      <c r="I2" s="242"/>
      <c r="J2" s="242"/>
      <c r="K2" s="242"/>
      <c r="L2" s="243"/>
      <c r="M2" s="240"/>
    </row>
    <row r="3" spans="1:13" s="188" customFormat="1" ht="13.5" thickBot="1" x14ac:dyDescent="0.25">
      <c r="B3" s="459" t="s">
        <v>25</v>
      </c>
      <c r="C3" s="457" t="s">
        <v>26</v>
      </c>
      <c r="D3" s="461" t="s">
        <v>27</v>
      </c>
      <c r="E3" s="462"/>
      <c r="F3" s="463"/>
      <c r="G3" s="462" t="s">
        <v>28</v>
      </c>
      <c r="H3" s="462"/>
      <c r="I3" s="461" t="s">
        <v>29</v>
      </c>
      <c r="J3" s="463"/>
      <c r="K3" s="461" t="s">
        <v>30</v>
      </c>
      <c r="L3" s="463"/>
    </row>
    <row r="4" spans="1:13" s="188" customFormat="1" ht="13.5" thickBot="1" x14ac:dyDescent="0.25">
      <c r="B4" s="460"/>
      <c r="C4" s="458"/>
      <c r="D4" s="407" t="s">
        <v>31</v>
      </c>
      <c r="E4" s="432" t="s">
        <v>32</v>
      </c>
      <c r="F4" s="439" t="s">
        <v>33</v>
      </c>
      <c r="G4" s="434" t="s">
        <v>31</v>
      </c>
      <c r="H4" s="443" t="s">
        <v>33</v>
      </c>
      <c r="I4" s="433" t="s">
        <v>31</v>
      </c>
      <c r="J4" s="407" t="s">
        <v>33</v>
      </c>
      <c r="K4" s="407" t="s">
        <v>34</v>
      </c>
      <c r="L4" s="435" t="s">
        <v>35</v>
      </c>
    </row>
    <row r="5" spans="1:13" x14ac:dyDescent="0.2">
      <c r="B5" s="253" t="s">
        <v>36</v>
      </c>
      <c r="C5" s="250">
        <f>SUMIF(G14:G1048564,"x",E14:E1048564)</f>
        <v>63200</v>
      </c>
      <c r="D5" s="417" cm="1">
        <f t="array" ref="D5">SUMPRODUCT(($F$14:$F$500=Berekening!C$5)*($G$14:$G$500="x")*($D$14:$D$500))</f>
        <v>20</v>
      </c>
      <c r="E5" s="437" cm="1">
        <f t="array" ref="E5">SUMPRODUCT(($F$14:$F$500=Berekening!C$6)*($G$14:$G$500="x")*($D$14:$D$500))</f>
        <v>20</v>
      </c>
      <c r="F5" s="440" cm="1">
        <f t="array" ref="F5">SUMPRODUCT(($F$14:$F$500=Berekening!C7)*($G$14:$G$500="x")*($D$14:$D$500))</f>
        <v>20</v>
      </c>
      <c r="G5" s="420" cm="1">
        <f t="array" ref="G5">SUMPRODUCT(($F$14:$F$500=Berekening!C8)*($G$14:$G$500="x")*($D$14:$D$500))</f>
        <v>0</v>
      </c>
      <c r="H5" s="421" cm="1">
        <f t="array" ref="H5">SUMPRODUCT(($F$14:$F$500=Berekening!C9)*($G$14:$G$500="x")*($D$14:$D$500))</f>
        <v>0</v>
      </c>
      <c r="I5" s="418" cm="1">
        <f t="array" ref="I5">SUMPRODUCT(($F$14:$F$500=Berekening!C10)*($G$14:$G$500="x")*($D$14:$D$500))</f>
        <v>0</v>
      </c>
      <c r="J5" s="419" cm="1">
        <f t="array" ref="J5">SUMPRODUCT(($F$14:$F$500=Berekening!C11)*($G$14:$G$500="x")*($D$14:$D$500))</f>
        <v>0</v>
      </c>
      <c r="K5" s="420" cm="1">
        <f t="array" ref="K5">SUMPRODUCT(($F$14:$F$500=Berekening!C12)*($G$14:$G$500="x")*($D$14:$D$500))</f>
        <v>0</v>
      </c>
      <c r="L5" s="421" cm="1">
        <f t="array" ref="L5">SUMPRODUCT(($F$14:$F$500=Berekening!C13)*($G$14:$G$500="x")*($D$14:$D$500))</f>
        <v>0</v>
      </c>
    </row>
    <row r="6" spans="1:13" x14ac:dyDescent="0.2">
      <c r="B6" s="254" t="s">
        <v>37</v>
      </c>
      <c r="C6" s="251">
        <f>SUMIF(H14:H1048564,"x",E14:E1048564)</f>
        <v>82000</v>
      </c>
      <c r="D6" s="422" cm="1">
        <f t="array" ref="D6">SUMPRODUCT((F$14:F$500=Berekening!C$5)*(H$14:H$500="x")*(D$14:D$500))</f>
        <v>0</v>
      </c>
      <c r="E6" s="436" cm="1">
        <f t="array" ref="E6">SUMPRODUCT(($F$14:$F$500=Berekening!C$6)*($H$14:$H$500="x")*($D$14:$D$500))</f>
        <v>0</v>
      </c>
      <c r="F6" s="441" cm="1">
        <f t="array" ref="F6">SUMPRODUCT(($F$14:$F$500=Berekening!C7)*($H$14:$H$500="x")*($D$14:$D$500))</f>
        <v>0</v>
      </c>
      <c r="G6" s="425" cm="1">
        <f t="array" ref="G6">SUMPRODUCT(($F$14:$F$500=Berekening!C8)*($H$14:$H$500="x")*($D$14:$D$500))</f>
        <v>0</v>
      </c>
      <c r="H6" s="426" cm="1">
        <f t="array" ref="H6">SUMPRODUCT(($F$14:$F$500=Berekening!C9)*($H$14:$H$500="x")*($D$14:$D$500))</f>
        <v>0</v>
      </c>
      <c r="I6" s="423" cm="1">
        <f t="array" ref="I6">SUMPRODUCT(($F$14:$F$500=Berekening!C10)*($H$14:$H$500="x")*($D$14:$D$500))</f>
        <v>0</v>
      </c>
      <c r="J6" s="424" cm="1">
        <f t="array" ref="J6">SUMPRODUCT(($F$14:$F$500=Berekening!C11)*($H$14:$H$500="x")*($D$14:$D$500))</f>
        <v>0</v>
      </c>
      <c r="K6" s="425" cm="1">
        <f t="array" ref="K6">SUMPRODUCT(($F$14:$F$500=Berekening!C12)*($H$14:$H$500="x")*($D$14:$D$500))</f>
        <v>12</v>
      </c>
      <c r="L6" s="426" cm="1">
        <f t="array" ref="L6">SUMPRODUCT(($F$14:$F$500=Berekening!C13)*($H$14:$H$500="x")*($D$14:$D$500))</f>
        <v>0</v>
      </c>
    </row>
    <row r="7" spans="1:13" x14ac:dyDescent="0.2">
      <c r="B7" s="254" t="s">
        <v>38</v>
      </c>
      <c r="C7" s="251">
        <f>SUMIF(I14:I1048564,"x",E14:E1048564)</f>
        <v>30200</v>
      </c>
      <c r="D7" s="422" cm="1">
        <f t="array" ref="D7">SUMPRODUCT((F$14:F$500=Berekening!C$5)*(I$14:I$500="x")*(D$14:D$500))</f>
        <v>0</v>
      </c>
      <c r="E7" s="436" cm="1">
        <f t="array" ref="E7">SUMPRODUCT(($F$14:$F$500=Berekening!C$6)*($I$14:$I$500="x")*($D$14:$D$500))</f>
        <v>0</v>
      </c>
      <c r="F7" s="441" cm="1">
        <f t="array" ref="F7">SUMPRODUCT(($F$14:$F$500=Berekening!C7)*($I$14:$I$500="x")*($D$14:$D$500))</f>
        <v>0</v>
      </c>
      <c r="G7" s="425" cm="1">
        <f t="array" ref="G7">SUMPRODUCT(($F$14:$F$500=Berekening!C8)*($I$14:$I$500="x")*($D$14:$D$500))</f>
        <v>0</v>
      </c>
      <c r="H7" s="426" cm="1">
        <f t="array" ref="H7">SUMPRODUCT(($F$14:$F$500=Berekening!C9)*($I$14:$I$500="x")*($D$14:$D$500))</f>
        <v>0</v>
      </c>
      <c r="I7" s="423" cm="1">
        <f t="array" ref="I7">SUMPRODUCT(($F$14:$F$500=Berekening!C10)*($I$14:$I$500="x")*($D$14:$D$500))</f>
        <v>0</v>
      </c>
      <c r="J7" s="424" cm="1">
        <f t="array" ref="J7">SUMPRODUCT(($F$14:$F$500=Berekening!C11)*($I$14:$I$500="x")*($D$14:$D$500))</f>
        <v>0</v>
      </c>
      <c r="K7" s="425" cm="1">
        <f t="array" ref="K7">SUMPRODUCT(($F$14:$F$500=Berekening!C12)*($I$14:$I$500="x")*($D$14:$D$500))</f>
        <v>0</v>
      </c>
      <c r="L7" s="426" cm="1">
        <f t="array" ref="L7">SUMPRODUCT(($F$14:$F$500=Berekening!C13)*($I$14:$I$500="x")*($D$14:$D$500))</f>
        <v>0</v>
      </c>
    </row>
    <row r="8" spans="1:13" x14ac:dyDescent="0.2">
      <c r="B8" s="254" t="s">
        <v>39</v>
      </c>
      <c r="C8" s="251">
        <f>SUMIF(J14:J1048564,"x",E14:E1048564)</f>
        <v>0</v>
      </c>
      <c r="D8" s="422" cm="1">
        <f t="array" ref="D8">SUMPRODUCT((F$14:F$500=Berekening!C$5)*(J$14:J$500="x")*(D$14:D$500))</f>
        <v>0</v>
      </c>
      <c r="E8" s="436" cm="1">
        <f t="array" ref="E8">SUMPRODUCT(($F$14:$F$500=Berekening!C$6)*($J$14:$J$500="x")*($D$14:$D$500))</f>
        <v>0</v>
      </c>
      <c r="F8" s="441" cm="1">
        <f t="array" ref="F8">SUMPRODUCT(($F$14:$F$500=Berekening!C7)*($J$14:$J$500="x")*($D$14:$D$500))</f>
        <v>0</v>
      </c>
      <c r="G8" s="425" cm="1">
        <f t="array" ref="G8">SUMPRODUCT(($F$14:$F$500=Berekening!C8)*($J$14:$J$500="x")*($D$14:$D$500))</f>
        <v>0</v>
      </c>
      <c r="H8" s="426" cm="1">
        <f t="array" ref="H8">SUMPRODUCT(($F$14:$F$500=Berekening!C9)*($J$14:$J$500="x")*($D$14:$D$500))</f>
        <v>0</v>
      </c>
      <c r="I8" s="423" cm="1">
        <f t="array" ref="I8">SUMPRODUCT(($F$14:$F$500=Berekening!C10)*($J$14:$J$500="x")*($D$14:$D$500))</f>
        <v>0</v>
      </c>
      <c r="J8" s="424" cm="1">
        <f t="array" ref="J8">SUMPRODUCT(($F$14:$F$500=Berekening!C11)*($J$14:$J$500="x")*($D$14:$D$500))</f>
        <v>0</v>
      </c>
      <c r="K8" s="425" cm="1">
        <f t="array" ref="K8">SUMPRODUCT(($F$14:$F$500=Berekening!C12)*($J$14:$J$500="x")*($D$14:$D$500))</f>
        <v>0</v>
      </c>
      <c r="L8" s="426" cm="1">
        <f t="array" ref="L8">SUMPRODUCT(($F$14:$F$500=Berekening!C13)*($J$14:$J$500="x")*($D$14:$D$500))</f>
        <v>0</v>
      </c>
    </row>
    <row r="9" spans="1:13" x14ac:dyDescent="0.2">
      <c r="B9" s="254" t="s">
        <v>40</v>
      </c>
      <c r="C9" s="251">
        <f>SUMIF(K14:K1048564,"x",E14:E1048564)</f>
        <v>0</v>
      </c>
      <c r="D9" s="422" cm="1">
        <f t="array" ref="D9">SUMPRODUCT((F$14:F$500=Berekening!C$5)*(K$14:K$500="x")*(D$14:D$500))</f>
        <v>0</v>
      </c>
      <c r="E9" s="436" cm="1">
        <f t="array" ref="E9">SUMPRODUCT(($F$14:$F$500=Berekening!C$6)*($K$14:$K$500="x")*($D$14:$D$500))</f>
        <v>0</v>
      </c>
      <c r="F9" s="441" cm="1">
        <f t="array" ref="F9">SUMPRODUCT(($F$14:$F$500=Berekening!C7)*($K$14:$K$500="x")*($D$14:$D$500))</f>
        <v>0</v>
      </c>
      <c r="G9" s="425" cm="1">
        <f t="array" ref="G9">SUMPRODUCT(($F$14:$F$500=Berekening!C8)*($K$14:$K$500="x")*($D$14:$D$500))</f>
        <v>0</v>
      </c>
      <c r="H9" s="426" cm="1">
        <f t="array" ref="H9">SUMPRODUCT(($F$14:$F$500=Berekening!C9)*($K$14:$K$500="x")*($D$14:$D$500))</f>
        <v>0</v>
      </c>
      <c r="I9" s="423" cm="1">
        <f t="array" ref="I9">SUMPRODUCT(($F$14:$F$500=Berekening!C10)*($K$14:$K$500="x")*($D$14:$D$500))</f>
        <v>0</v>
      </c>
      <c r="J9" s="424" cm="1">
        <f t="array" ref="J9">SUMPRODUCT(($F$14:$F$500=Berekening!C11)*($K$14:$K$500="x")*($D$14:$D$500))</f>
        <v>0</v>
      </c>
      <c r="K9" s="425" cm="1">
        <f t="array" ref="K9">SUMPRODUCT(($F$14:$F$500=Berekening!C12)*($K$14:$K$500="x")*($D$14:$D$500))</f>
        <v>0</v>
      </c>
      <c r="L9" s="426" cm="1">
        <f t="array" ref="L9">SUMPRODUCT(($F$14:$F$500=Berekening!C13)*($K$14:$K$500="x")*($D$14:$D$500))</f>
        <v>0</v>
      </c>
    </row>
    <row r="10" spans="1:13" ht="13.5" thickBot="1" x14ac:dyDescent="0.25">
      <c r="B10" s="255" t="s">
        <v>41</v>
      </c>
      <c r="C10" s="252">
        <f>SUMIF(L14:L1048564,"x",E14:E1048564)</f>
        <v>0</v>
      </c>
      <c r="D10" s="427" cm="1">
        <f t="array" ref="D10">SUMPRODUCT((F$14:F$500=Berekening!C$5)*(L$14:L$500="x")*(D$14:D$500))</f>
        <v>0</v>
      </c>
      <c r="E10" s="438" cm="1">
        <f t="array" ref="E10">SUMPRODUCT(($F$14:$F$500=Berekening!C$6)*($L$14:$L$500="x")*($D$14:$D$500))</f>
        <v>0</v>
      </c>
      <c r="F10" s="442" cm="1">
        <f t="array" ref="F10">SUMPRODUCT(($F$14:$F$500=Berekening!C7)*($L$14:$L$500="x")*($D$14:$D$500))</f>
        <v>0</v>
      </c>
      <c r="G10" s="430" cm="1">
        <f t="array" ref="G10">SUMPRODUCT(($F$14:$F$500=Berekening!C8)*($L$14:$L$500="x")*($D$14:$D$500))</f>
        <v>0</v>
      </c>
      <c r="H10" s="431" cm="1">
        <f t="array" ref="H10">SUMPRODUCT(($F$14:$F$500=Berekening!C9)*($L$14:$L$500="x")*($D$14:$D$500))</f>
        <v>0</v>
      </c>
      <c r="I10" s="428" cm="1">
        <f t="array" ref="I10">SUMPRODUCT(($F$14:$F$500=Berekening!C10)*($L$14:$L$500="x")*($D$14:$D$500))</f>
        <v>0</v>
      </c>
      <c r="J10" s="429" cm="1">
        <f t="array" ref="J10">SUMPRODUCT(($F$14:$F$500=Berekening!C11)*($L$14:$L$500="x")*($D$14:$D$500))</f>
        <v>0</v>
      </c>
      <c r="K10" s="430" cm="1">
        <f t="array" ref="K10">SUMPRODUCT(($F$14:$F$500=Berekening!C12)*($L$14:$L$500="x")*($D$14:$D$500))</f>
        <v>0</v>
      </c>
      <c r="L10" s="431" cm="1">
        <f t="array" ref="L10">SUMPRODUCT(($F$14:$F$500=Berekening!C13)*($L$14:$L$500="x")*($D$14:$D$500))</f>
        <v>0</v>
      </c>
    </row>
    <row r="11" spans="1:13" ht="13.5" thickBot="1" x14ac:dyDescent="0.25">
      <c r="B11" s="189"/>
      <c r="C11" s="189"/>
      <c r="D11" s="166"/>
      <c r="E11" s="190"/>
      <c r="F11" s="197"/>
      <c r="G11" s="191"/>
      <c r="H11" s="191"/>
      <c r="I11" s="191"/>
      <c r="J11" s="191"/>
      <c r="K11" s="191"/>
      <c r="L11" s="191"/>
    </row>
    <row r="12" spans="1:13" s="195" customFormat="1" ht="16.5" thickBot="1" x14ac:dyDescent="0.3">
      <c r="A12" s="239"/>
      <c r="B12" s="241" t="s">
        <v>42</v>
      </c>
      <c r="C12" s="242"/>
      <c r="D12" s="242"/>
      <c r="E12" s="242"/>
      <c r="F12" s="242"/>
      <c r="G12" s="242"/>
      <c r="H12" s="242"/>
      <c r="I12" s="242"/>
      <c r="J12" s="242"/>
      <c r="K12" s="242"/>
      <c r="L12" s="243"/>
      <c r="M12" s="240"/>
    </row>
    <row r="13" spans="1:13" ht="13.5" thickBot="1" x14ac:dyDescent="0.25">
      <c r="B13" s="192" t="s">
        <v>43</v>
      </c>
      <c r="C13" s="192" t="s">
        <v>44</v>
      </c>
      <c r="D13" s="193" t="s">
        <v>45</v>
      </c>
      <c r="E13" s="185" t="s">
        <v>46</v>
      </c>
      <c r="F13" s="198" t="s">
        <v>202</v>
      </c>
      <c r="G13" s="193" t="s">
        <v>36</v>
      </c>
      <c r="H13" s="193" t="s">
        <v>37</v>
      </c>
      <c r="I13" s="193" t="s">
        <v>38</v>
      </c>
      <c r="J13" s="193" t="s">
        <v>39</v>
      </c>
      <c r="K13" s="193" t="s">
        <v>40</v>
      </c>
      <c r="L13" s="193" t="s">
        <v>41</v>
      </c>
      <c r="M13" s="194"/>
    </row>
    <row r="14" spans="1:13" x14ac:dyDescent="0.2">
      <c r="B14" s="410" t="s">
        <v>47</v>
      </c>
      <c r="C14" s="410"/>
      <c r="D14" s="411">
        <v>2</v>
      </c>
      <c r="E14" s="412">
        <v>2000</v>
      </c>
      <c r="F14" s="408" t="s">
        <v>48</v>
      </c>
      <c r="G14" s="403"/>
      <c r="H14" s="403"/>
      <c r="I14" s="403"/>
      <c r="J14" s="403"/>
      <c r="K14" s="403"/>
      <c r="L14" s="403"/>
    </row>
    <row r="15" spans="1:13" x14ac:dyDescent="0.2">
      <c r="B15" s="410" t="s">
        <v>50</v>
      </c>
      <c r="C15" s="410" t="s">
        <v>51</v>
      </c>
      <c r="D15" s="411">
        <v>20</v>
      </c>
      <c r="E15" s="412">
        <v>7500</v>
      </c>
      <c r="F15" s="408" t="s">
        <v>52</v>
      </c>
      <c r="G15" s="403" t="s">
        <v>49</v>
      </c>
      <c r="H15" s="403"/>
      <c r="I15" s="403"/>
      <c r="J15" s="403"/>
      <c r="K15" s="403"/>
      <c r="L15" s="403"/>
    </row>
    <row r="16" spans="1:13" x14ac:dyDescent="0.2">
      <c r="B16" s="410" t="s">
        <v>50</v>
      </c>
      <c r="C16" s="410" t="s">
        <v>53</v>
      </c>
      <c r="D16" s="411">
        <v>20</v>
      </c>
      <c r="E16" s="412">
        <v>15000</v>
      </c>
      <c r="F16" s="408" t="s">
        <v>54</v>
      </c>
      <c r="G16" s="403" t="s">
        <v>49</v>
      </c>
      <c r="H16" s="403"/>
      <c r="I16" s="403"/>
      <c r="J16" s="403"/>
      <c r="K16" s="403"/>
      <c r="L16" s="403"/>
    </row>
    <row r="17" spans="2:12" x14ac:dyDescent="0.2">
      <c r="B17" s="410" t="s">
        <v>50</v>
      </c>
      <c r="C17" s="410" t="s">
        <v>55</v>
      </c>
      <c r="D17" s="411">
        <v>20</v>
      </c>
      <c r="E17" s="412">
        <v>3000</v>
      </c>
      <c r="F17" s="408" t="s">
        <v>56</v>
      </c>
      <c r="G17" s="403" t="s">
        <v>49</v>
      </c>
      <c r="H17" s="403"/>
      <c r="I17" s="403"/>
      <c r="J17" s="403"/>
      <c r="K17" s="403"/>
      <c r="L17" s="403"/>
    </row>
    <row r="18" spans="2:12" x14ac:dyDescent="0.2">
      <c r="B18" s="410" t="s">
        <v>57</v>
      </c>
      <c r="C18" s="410"/>
      <c r="D18" s="411"/>
      <c r="E18" s="412">
        <v>5000</v>
      </c>
      <c r="F18" s="408"/>
      <c r="G18" s="403" t="s">
        <v>49</v>
      </c>
      <c r="H18" s="403"/>
      <c r="I18" s="403" t="s">
        <v>49</v>
      </c>
      <c r="J18" s="403"/>
      <c r="K18" s="403"/>
      <c r="L18" s="403"/>
    </row>
    <row r="19" spans="2:12" x14ac:dyDescent="0.2">
      <c r="B19" s="410" t="s">
        <v>58</v>
      </c>
      <c r="C19" s="410"/>
      <c r="D19" s="411"/>
      <c r="E19" s="412">
        <v>200</v>
      </c>
      <c r="F19" s="408"/>
      <c r="G19" s="403" t="s">
        <v>49</v>
      </c>
      <c r="H19" s="403"/>
      <c r="I19" s="403" t="s">
        <v>49</v>
      </c>
      <c r="J19" s="403"/>
      <c r="K19" s="403"/>
      <c r="L19" s="403"/>
    </row>
    <row r="20" spans="2:12" x14ac:dyDescent="0.2">
      <c r="B20" s="408" t="s">
        <v>59</v>
      </c>
      <c r="C20" s="408"/>
      <c r="D20" s="403"/>
      <c r="E20" s="413">
        <v>7500</v>
      </c>
      <c r="F20" s="408" t="s">
        <v>60</v>
      </c>
      <c r="G20" s="403" t="s">
        <v>49</v>
      </c>
      <c r="H20" s="403" t="s">
        <v>49</v>
      </c>
      <c r="I20" s="403"/>
      <c r="J20" s="403"/>
      <c r="K20" s="403"/>
      <c r="L20" s="408"/>
    </row>
    <row r="21" spans="2:12" x14ac:dyDescent="0.2">
      <c r="B21" s="410" t="s">
        <v>61</v>
      </c>
      <c r="C21" s="410"/>
      <c r="D21" s="411">
        <v>12</v>
      </c>
      <c r="E21" s="412">
        <v>4500</v>
      </c>
      <c r="F21" s="408" t="s">
        <v>48</v>
      </c>
      <c r="G21" s="403"/>
      <c r="H21" s="403" t="s">
        <v>49</v>
      </c>
      <c r="I21" s="403"/>
      <c r="J21" s="403"/>
      <c r="K21" s="403"/>
      <c r="L21" s="403"/>
    </row>
    <row r="22" spans="2:12" x14ac:dyDescent="0.2">
      <c r="B22" s="410" t="s">
        <v>62</v>
      </c>
      <c r="C22" s="410"/>
      <c r="D22" s="411"/>
      <c r="E22" s="412">
        <v>70000</v>
      </c>
      <c r="F22" s="408" t="s">
        <v>63</v>
      </c>
      <c r="G22" s="403"/>
      <c r="H22" s="403" t="s">
        <v>49</v>
      </c>
      <c r="I22" s="403"/>
      <c r="J22" s="403"/>
      <c r="K22" s="403"/>
      <c r="L22" s="403"/>
    </row>
    <row r="23" spans="2:12" x14ac:dyDescent="0.2">
      <c r="B23" s="408" t="s">
        <v>195</v>
      </c>
      <c r="C23" s="408" t="s">
        <v>206</v>
      </c>
      <c r="D23" s="408"/>
      <c r="E23" s="413">
        <v>25000</v>
      </c>
      <c r="F23" s="408"/>
      <c r="G23" s="403" t="s">
        <v>49</v>
      </c>
      <c r="H23" s="403"/>
      <c r="I23" s="403" t="s">
        <v>49</v>
      </c>
      <c r="J23" s="403"/>
      <c r="K23" s="403"/>
      <c r="L23" s="408"/>
    </row>
    <row r="24" spans="2:12" x14ac:dyDescent="0.2">
      <c r="F24" s="409"/>
      <c r="G24" s="196"/>
      <c r="H24" s="196"/>
      <c r="I24" s="196"/>
      <c r="J24" s="196"/>
      <c r="K24" s="196"/>
    </row>
    <row r="25" spans="2:12" x14ac:dyDescent="0.2">
      <c r="E25" s="415"/>
      <c r="F25" s="416"/>
      <c r="G25" s="196"/>
      <c r="H25" s="196"/>
      <c r="I25" s="196"/>
      <c r="J25" s="196"/>
      <c r="K25" s="196"/>
    </row>
    <row r="26" spans="2:12" x14ac:dyDescent="0.2">
      <c r="F26" s="409"/>
      <c r="G26" s="196"/>
      <c r="H26" s="196"/>
      <c r="I26" s="196"/>
      <c r="J26" s="196"/>
      <c r="K26" s="196"/>
    </row>
    <row r="27" spans="2:12" x14ac:dyDescent="0.2">
      <c r="F27" s="409"/>
      <c r="G27" s="196"/>
      <c r="H27" s="196"/>
      <c r="I27" s="196"/>
      <c r="J27" s="196"/>
      <c r="K27" s="196"/>
    </row>
    <row r="28" spans="2:12" x14ac:dyDescent="0.2">
      <c r="F28" s="409"/>
      <c r="G28" s="196"/>
      <c r="H28" s="196"/>
      <c r="I28" s="196"/>
      <c r="J28" s="196"/>
      <c r="K28" s="196"/>
    </row>
    <row r="29" spans="2:12" x14ac:dyDescent="0.2">
      <c r="F29" s="409"/>
      <c r="G29" s="196"/>
      <c r="H29" s="196"/>
      <c r="I29" s="196"/>
      <c r="J29" s="196"/>
      <c r="K29" s="196"/>
    </row>
    <row r="30" spans="2:12" x14ac:dyDescent="0.2">
      <c r="F30" s="409"/>
      <c r="G30" s="196"/>
      <c r="H30" s="196"/>
      <c r="I30" s="196"/>
      <c r="J30" s="196"/>
      <c r="K30" s="196"/>
    </row>
    <row r="31" spans="2:12" x14ac:dyDescent="0.2">
      <c r="F31" s="409"/>
      <c r="G31" s="196"/>
      <c r="H31" s="196"/>
      <c r="I31" s="196"/>
      <c r="J31" s="196"/>
      <c r="K31" s="196"/>
    </row>
    <row r="32" spans="2:12" x14ac:dyDescent="0.2">
      <c r="F32" s="409"/>
      <c r="G32" s="196"/>
      <c r="H32" s="196"/>
      <c r="I32" s="196"/>
      <c r="J32" s="196"/>
      <c r="K32" s="196"/>
    </row>
    <row r="33" spans="6:11" x14ac:dyDescent="0.2">
      <c r="F33" s="409"/>
      <c r="G33" s="196"/>
      <c r="H33" s="196"/>
      <c r="I33" s="196"/>
      <c r="J33" s="196"/>
      <c r="K33" s="196"/>
    </row>
    <row r="34" spans="6:11" x14ac:dyDescent="0.2">
      <c r="F34" s="409"/>
      <c r="G34" s="196"/>
      <c r="H34" s="196"/>
      <c r="I34" s="196"/>
      <c r="J34" s="196"/>
      <c r="K34" s="196"/>
    </row>
    <row r="35" spans="6:11" x14ac:dyDescent="0.2">
      <c r="F35" s="409"/>
      <c r="G35" s="196"/>
      <c r="H35" s="196"/>
      <c r="I35" s="196"/>
      <c r="J35" s="196"/>
      <c r="K35" s="196"/>
    </row>
    <row r="36" spans="6:11" x14ac:dyDescent="0.2">
      <c r="F36" s="409"/>
      <c r="G36" s="196"/>
      <c r="H36" s="196"/>
      <c r="I36" s="196"/>
      <c r="J36" s="196"/>
      <c r="K36" s="196"/>
    </row>
    <row r="37" spans="6:11" x14ac:dyDescent="0.2">
      <c r="F37" s="409"/>
      <c r="G37" s="196"/>
      <c r="H37" s="196"/>
      <c r="I37" s="196"/>
      <c r="J37" s="196"/>
      <c r="K37" s="196"/>
    </row>
    <row r="38" spans="6:11" x14ac:dyDescent="0.2">
      <c r="F38" s="409"/>
      <c r="G38" s="196"/>
      <c r="H38" s="196"/>
      <c r="I38" s="196"/>
      <c r="J38" s="196"/>
      <c r="K38" s="196"/>
    </row>
    <row r="39" spans="6:11" x14ac:dyDescent="0.2">
      <c r="F39" s="409"/>
      <c r="G39" s="196"/>
      <c r="H39" s="196"/>
      <c r="I39" s="196"/>
      <c r="J39" s="196"/>
      <c r="K39" s="196"/>
    </row>
    <row r="40" spans="6:11" x14ac:dyDescent="0.2">
      <c r="F40" s="409"/>
      <c r="G40" s="196"/>
      <c r="H40" s="196"/>
      <c r="I40" s="196"/>
      <c r="J40" s="196"/>
      <c r="K40" s="196"/>
    </row>
    <row r="41" spans="6:11" x14ac:dyDescent="0.2">
      <c r="F41" s="409"/>
      <c r="G41" s="196"/>
      <c r="H41" s="196"/>
      <c r="I41" s="196"/>
      <c r="J41" s="196"/>
      <c r="K41" s="196"/>
    </row>
    <row r="42" spans="6:11" x14ac:dyDescent="0.2">
      <c r="F42" s="409"/>
      <c r="G42" s="196"/>
      <c r="H42" s="196"/>
      <c r="I42" s="196"/>
      <c r="J42" s="196"/>
      <c r="K42" s="196"/>
    </row>
    <row r="43" spans="6:11" x14ac:dyDescent="0.2">
      <c r="G43" s="196"/>
      <c r="H43" s="196"/>
      <c r="I43" s="196"/>
      <c r="J43" s="196"/>
      <c r="K43" s="196"/>
    </row>
    <row r="44" spans="6:11" x14ac:dyDescent="0.2">
      <c r="G44" s="196"/>
      <c r="H44" s="196"/>
      <c r="I44" s="196"/>
      <c r="J44" s="196"/>
      <c r="K44" s="196"/>
    </row>
    <row r="45" spans="6:11" x14ac:dyDescent="0.2">
      <c r="G45" s="196"/>
      <c r="H45" s="196"/>
      <c r="I45" s="196"/>
      <c r="J45" s="196"/>
      <c r="K45" s="196"/>
    </row>
  </sheetData>
  <autoFilter ref="B13:L24" xr:uid="{A4C462D1-A60B-4605-A408-7D7117025068}">
    <sortState xmlns:xlrd2="http://schemas.microsoft.com/office/spreadsheetml/2017/richdata2" ref="B14:L24">
      <sortCondition ref="B13:B24"/>
    </sortState>
  </autoFilter>
  <mergeCells count="6">
    <mergeCell ref="C3:C4"/>
    <mergeCell ref="B3:B4"/>
    <mergeCell ref="D3:F3"/>
    <mergeCell ref="G3:H3"/>
    <mergeCell ref="K3:L3"/>
    <mergeCell ref="I3:J3"/>
  </mergeCells>
  <phoneticPr fontId="29" type="noConversion"/>
  <pageMargins left="0.7" right="0.7" top="0.75" bottom="0.75" header="0.3" footer="0.3"/>
  <pageSetup paperSize="9" scale="8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A118D8F-B1DA-4D39-AFA2-09FB512BEBAB}">
          <x14:formula1>
            <xm:f>Berekening!$C$5:$C$23</xm:f>
          </x14:formula1>
          <xm:sqref>F14:F307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pageSetUpPr fitToPage="1"/>
  </sheetPr>
  <dimension ref="A1:U74"/>
  <sheetViews>
    <sheetView zoomScale="80" zoomScaleNormal="80" workbookViewId="0">
      <selection activeCell="H32" sqref="H32"/>
    </sheetView>
  </sheetViews>
  <sheetFormatPr defaultColWidth="8.85546875" defaultRowHeight="15" outlineLevelRow="1" x14ac:dyDescent="0.25"/>
  <cols>
    <col min="1" max="1" width="1.42578125" style="6" customWidth="1"/>
    <col min="2" max="2" width="36.28515625" style="4" customWidth="1"/>
    <col min="3" max="3" width="46.28515625" style="4" customWidth="1"/>
    <col min="4" max="4" width="27.42578125" style="4" customWidth="1"/>
    <col min="5" max="6" width="14.28515625" style="4" customWidth="1"/>
    <col min="7" max="7" width="15.7109375" style="4" customWidth="1"/>
    <col min="8" max="8" width="25.5703125" style="4" customWidth="1"/>
    <col min="9" max="17" width="20" style="4" customWidth="1"/>
    <col min="18" max="21" width="14.28515625" style="4" customWidth="1"/>
    <col min="22" max="22" width="5.140625" style="4" bestFit="1" customWidth="1"/>
    <col min="23" max="28" width="14.28515625" style="4" customWidth="1"/>
    <col min="29" max="16384" width="8.85546875" style="4"/>
  </cols>
  <sheetData>
    <row r="1" spans="1:17" ht="7.5" customHeight="1" thickBot="1" x14ac:dyDescent="0.3">
      <c r="A1" s="10"/>
      <c r="B1" s="8"/>
      <c r="C1" s="7"/>
      <c r="D1" s="28" t="s">
        <v>64</v>
      </c>
      <c r="E1" s="2"/>
      <c r="F1" s="3"/>
      <c r="K1" s="481"/>
      <c r="L1" s="481"/>
      <c r="M1" s="481"/>
      <c r="N1" s="481"/>
      <c r="O1" s="481"/>
      <c r="P1" s="481"/>
      <c r="Q1" s="49" t="e">
        <f>#REF!</f>
        <v>#REF!</v>
      </c>
    </row>
    <row r="2" spans="1:17" ht="51" customHeight="1" thickBot="1" x14ac:dyDescent="0.3">
      <c r="A2" s="10"/>
      <c r="B2" s="1"/>
      <c r="C2" s="58"/>
      <c r="D2" s="3"/>
      <c r="E2" s="3"/>
      <c r="F2" s="3"/>
      <c r="G2" s="3"/>
      <c r="H2" s="3"/>
      <c r="I2" s="123" t="s">
        <v>65</v>
      </c>
      <c r="J2" s="470" t="str">
        <f>"Tussenstappen quotiteit " &amp;
TEXT('Matrix kavel'!B3, "#.##0")</f>
        <v>Tussenstappen quotiteit 100</v>
      </c>
      <c r="K2" s="471"/>
      <c r="L2" s="471"/>
      <c r="M2" s="472"/>
      <c r="N2" s="490" t="str">
        <f>"Premieberekening quotiteit " &amp;
TEXT('Matrix kavel'!B3, "#.##0")</f>
        <v>Premieberekening quotiteit 100</v>
      </c>
      <c r="O2" s="490"/>
      <c r="P2" s="490"/>
      <c r="Q2" s="491"/>
    </row>
    <row r="3" spans="1:17" ht="51" customHeight="1" thickBot="1" x14ac:dyDescent="0.3">
      <c r="A3" s="11"/>
      <c r="B3" s="109" t="s">
        <v>66</v>
      </c>
      <c r="C3" s="175" t="s">
        <v>36</v>
      </c>
      <c r="D3" s="110" t="s">
        <v>67</v>
      </c>
      <c r="E3" s="111" t="s">
        <v>68</v>
      </c>
      <c r="F3" s="110" t="s">
        <v>69</v>
      </c>
      <c r="G3" s="112" t="s">
        <v>70</v>
      </c>
      <c r="H3" s="131" t="s">
        <v>71</v>
      </c>
      <c r="I3" s="113" t="s">
        <v>72</v>
      </c>
      <c r="J3" s="114" t="s">
        <v>73</v>
      </c>
      <c r="K3" s="124" t="s">
        <v>74</v>
      </c>
      <c r="L3" s="128" t="s">
        <v>75</v>
      </c>
      <c r="M3" s="127" t="s">
        <v>76</v>
      </c>
      <c r="N3" s="402" t="s">
        <v>77</v>
      </c>
      <c r="O3" s="402" t="s">
        <v>78</v>
      </c>
      <c r="P3" s="402" t="s">
        <v>79</v>
      </c>
      <c r="Q3" s="402" t="s">
        <v>80</v>
      </c>
    </row>
    <row r="4" spans="1:17" ht="15.75" thickBot="1" x14ac:dyDescent="0.3">
      <c r="A4" s="12"/>
      <c r="B4" s="115" t="s">
        <v>81</v>
      </c>
      <c r="C4" s="64"/>
      <c r="D4" s="63">
        <f>SUM(D5:D18)</f>
        <v>25500</v>
      </c>
      <c r="E4" s="29"/>
      <c r="F4" s="29">
        <f>SUM(F5:F18)</f>
        <v>27030</v>
      </c>
      <c r="G4" s="41"/>
      <c r="H4" s="95"/>
      <c r="I4" s="96"/>
      <c r="J4" s="97"/>
      <c r="K4" s="125"/>
      <c r="L4" s="125"/>
      <c r="M4" s="122"/>
      <c r="N4" s="129"/>
      <c r="O4" s="129"/>
      <c r="P4" s="129"/>
      <c r="Q4" s="116"/>
    </row>
    <row r="5" spans="1:17" ht="15.75" customHeight="1" x14ac:dyDescent="0.25">
      <c r="B5" s="294"/>
      <c r="C5" s="295" t="s">
        <v>52</v>
      </c>
      <c r="D5" s="444" cm="1">
        <f t="array" ref="D5">SUMPRODUCT(
  (Raming!E$14:E$200) *
  (INDEX(Raming!G$14:L$200, ROW(Raming!E$14:E$200)-13, VALUE(REPLACE(Berekening!$C$3,1,9,""))) = "x") *
  (Raming!F$14:F$200 = Berekening!C5)
)</f>
        <v>7500</v>
      </c>
      <c r="E5" s="296">
        <v>0.06</v>
      </c>
      <c r="F5" s="297">
        <f>D5+(D5*E5)</f>
        <v>7950</v>
      </c>
      <c r="G5" s="449" cm="1">
        <f t="array" ref="G5">INDEX(Raming!D$5:L$10, VALUE(REPLACE($C$3,1,9,"")), ROW()-4)</f>
        <v>20</v>
      </c>
      <c r="H5" s="288"/>
      <c r="I5" s="298">
        <f>MIN(16*G5,D5*40%)</f>
        <v>320</v>
      </c>
      <c r="J5" s="299">
        <f>Berekening!I5/$L$43*'Matrix kavel'!$B$3</f>
        <v>33.333333333333329</v>
      </c>
      <c r="K5" s="300">
        <f>D5/J$43*'Matrix kavel'!$B$3</f>
        <v>750</v>
      </c>
      <c r="L5" s="486">
        <f>P5-J5</f>
        <v>859.16666666666663</v>
      </c>
      <c r="M5" s="488">
        <f>Q5-J5</f>
        <v>1241.6666666666667</v>
      </c>
      <c r="N5" s="484">
        <f>J5+J6</f>
        <v>49.333333333333329</v>
      </c>
      <c r="O5" s="484">
        <f>N5</f>
        <v>49.333333333333329</v>
      </c>
      <c r="P5" s="484">
        <f>MIN(35%*(K5+IF(K5&gt;0,K6,0)+IF(K5&gt;0,K7,0)),4025)</f>
        <v>892.5</v>
      </c>
      <c r="Q5" s="485">
        <f>MIN(50%*(K5+IF(K5&gt;0,K6,0)+IF(K5&gt;0,K7,0)),5750)</f>
        <v>1275</v>
      </c>
    </row>
    <row r="6" spans="1:17" ht="15.75" customHeight="1" x14ac:dyDescent="0.25">
      <c r="A6" s="176"/>
      <c r="B6" s="301"/>
      <c r="C6" s="302" t="s">
        <v>56</v>
      </c>
      <c r="D6" s="445" cm="1">
        <f t="array" ref="D6">SUMPRODUCT(
  (Raming!E$14:E$200) *
  (INDEX(Raming!G$14:L$200, ROW(Raming!E$14:E$200)-13, VALUE(REPLACE(Berekening!$C$3,1,9,""))) = "x") *
  (Raming!F$14:F$200 = Berekening!C6)
)</f>
        <v>3000</v>
      </c>
      <c r="E6" s="296">
        <v>0.06</v>
      </c>
      <c r="F6" s="297">
        <f t="shared" ref="F6" si="0">D6+(D6*E6)</f>
        <v>3180</v>
      </c>
      <c r="G6" s="449" cm="1">
        <f t="array" ref="G6">INDEX(Raming!D$5:L$10, VALUE(REPLACE($C$3,1,9,"")), ROW()-4)</f>
        <v>20</v>
      </c>
      <c r="H6" s="289" t="s">
        <v>82</v>
      </c>
      <c r="I6" s="298">
        <f>IF(H6="Geen bonus asbest",0,MIN(8*G6,50%*(D5+D6)))</f>
        <v>160</v>
      </c>
      <c r="J6" s="303">
        <f>Berekening!I6/$J$43*'Matrix kavel'!$B$3</f>
        <v>16</v>
      </c>
      <c r="K6" s="300">
        <f>D6/J$43*'Matrix kavel'!$B$3</f>
        <v>300</v>
      </c>
      <c r="L6" s="487"/>
      <c r="M6" s="489"/>
      <c r="N6" s="492"/>
      <c r="O6" s="492"/>
      <c r="P6" s="477"/>
      <c r="Q6" s="478"/>
    </row>
    <row r="7" spans="1:17" ht="15.75" customHeight="1" x14ac:dyDescent="0.25">
      <c r="A7" s="176"/>
      <c r="B7" s="301"/>
      <c r="C7" s="295" t="s">
        <v>54</v>
      </c>
      <c r="D7" s="446" cm="1">
        <f t="array" ref="D7">SUMPRODUCT(
  (Raming!E$14:E$200) *
  (INDEX(Raming!G$14:L$200, ROW(Raming!E$14:E$200)-13, VALUE(REPLACE(Berekening!$C$3,1,9,""))) = "x") *
  (Raming!F$14:F$200 = Berekening!C7)
)</f>
        <v>15000</v>
      </c>
      <c r="E7" s="296">
        <v>0.06</v>
      </c>
      <c r="F7" s="297">
        <f>D7+(D7*E7)</f>
        <v>15900</v>
      </c>
      <c r="G7" s="449" cm="1">
        <f t="array" ref="G7">INDEX(Raming!D$5:L$10, VALUE(REPLACE($C$3,1,9,"")), ROW()-4)</f>
        <v>20</v>
      </c>
      <c r="H7" s="288"/>
      <c r="I7" s="309"/>
      <c r="J7" s="310"/>
      <c r="K7" s="300">
        <f>D7/J$43*'Matrix kavel'!$B$3</f>
        <v>1500</v>
      </c>
      <c r="L7" s="487"/>
      <c r="M7" s="489"/>
      <c r="N7" s="311"/>
      <c r="O7" s="311"/>
      <c r="P7" s="477"/>
      <c r="Q7" s="478"/>
    </row>
    <row r="8" spans="1:17" ht="15.75" customHeight="1" x14ac:dyDescent="0.25">
      <c r="A8" s="177"/>
      <c r="B8" s="312" t="s">
        <v>83</v>
      </c>
      <c r="C8" s="313" t="s">
        <v>84</v>
      </c>
      <c r="D8" s="444" cm="1">
        <f t="array" ref="D8">SUMPRODUCT(
  (Raming!E$14:E$200) *
  (INDEX(Raming!G$14:L$200, ROW(Raming!E$14:E$200)-13, VALUE(REPLACE(Berekening!$C$3,1,9,""))) = "x") *
  (Raming!F$14:F$200 = Berekening!C8)
)</f>
        <v>0</v>
      </c>
      <c r="E8" s="314">
        <v>0.06</v>
      </c>
      <c r="F8" s="315">
        <f t="shared" ref="F8:F9" si="1">D8+(D8*E8)</f>
        <v>0</v>
      </c>
      <c r="G8" s="450" cm="1">
        <f t="array" ref="G8">INDEX(Raming!D$5:L$10, VALUE(REPLACE($C$3,1,9,"")), ROW()-4)</f>
        <v>0</v>
      </c>
      <c r="H8" s="290"/>
      <c r="I8" s="316">
        <f>IF(B8="Spouwmuur",MIN(7.5*G8,0.4*D8),IF(B8="Binnenkant",MIN(15*G8,0.4*D8),IF(B8="Buitenkant",MIN(22.5*G8,0.4*D8))))</f>
        <v>0</v>
      </c>
      <c r="J8" s="317">
        <f>Berekening!I8/$J$43*'Matrix kavel'!$B$3</f>
        <v>0</v>
      </c>
      <c r="K8" s="318">
        <f>D8/J$43*'Matrix kavel'!$B$3</f>
        <v>0</v>
      </c>
      <c r="L8" s="473">
        <f>P8-J8</f>
        <v>0</v>
      </c>
      <c r="M8" s="475">
        <f>Q8-J8</f>
        <v>0</v>
      </c>
      <c r="N8" s="319">
        <f>J8</f>
        <v>0</v>
      </c>
      <c r="O8" s="319">
        <f>N8</f>
        <v>0</v>
      </c>
      <c r="P8" s="484">
        <f>MIN(35%*(K8+IF(K8&gt;0,K9,0)),3500)</f>
        <v>0</v>
      </c>
      <c r="Q8" s="485">
        <f>MIN(50%*(K8+IF(K8&gt;0,K9,0)),5000)</f>
        <v>0</v>
      </c>
    </row>
    <row r="9" spans="1:17" ht="15.75" customHeight="1" x14ac:dyDescent="0.25">
      <c r="A9" s="177"/>
      <c r="B9" s="320"/>
      <c r="C9" s="321" t="s">
        <v>85</v>
      </c>
      <c r="D9" s="446" cm="1">
        <f t="array" ref="D9">SUMPRODUCT(
  (Raming!E$14:E$200) *
  (INDEX(Raming!G$14:L$200, ROW(Raming!E$14:E$200)-13, VALUE(REPLACE(Berekening!$C$3,1,9,""))) = "x") *
  (Raming!F$14:F$200 = Berekening!C9)
)</f>
        <v>0</v>
      </c>
      <c r="E9" s="322">
        <v>0.06</v>
      </c>
      <c r="F9" s="323">
        <f t="shared" si="1"/>
        <v>0</v>
      </c>
      <c r="G9" s="451" cm="1">
        <f t="array" ref="G9">INDEX(Raming!D$5:L$10, VALUE(REPLACE($C$3,1,9,"")), ROW()-4)</f>
        <v>0</v>
      </c>
      <c r="H9" s="291"/>
      <c r="I9" s="324"/>
      <c r="J9" s="325"/>
      <c r="K9" s="326">
        <f>D9/J$43*'Matrix kavel'!$B$3</f>
        <v>0</v>
      </c>
      <c r="L9" s="474"/>
      <c r="M9" s="476"/>
      <c r="N9" s="327"/>
      <c r="O9" s="327"/>
      <c r="P9" s="492"/>
      <c r="Q9" s="493"/>
    </row>
    <row r="10" spans="1:17" ht="15.75" customHeight="1" x14ac:dyDescent="0.25">
      <c r="A10" s="176"/>
      <c r="B10" s="328"/>
      <c r="C10" s="329" t="s">
        <v>86</v>
      </c>
      <c r="D10" s="444" cm="1">
        <f t="array" ref="D10">SUMPRODUCT(
  (Raming!E$14:E$200) *
  (INDEX(Raming!G$14:L$200, ROW(Raming!E$14:E$200)-13, VALUE(REPLACE(Berekening!$C$3,1,9,""))) = "x") *
  (Raming!F$14:F$200 = Berekening!C10)
)</f>
        <v>0</v>
      </c>
      <c r="E10" s="314">
        <v>0.06</v>
      </c>
      <c r="F10" s="315">
        <f t="shared" ref="F10:F17" si="2">D10+(D10*E10)</f>
        <v>0</v>
      </c>
      <c r="G10" s="450" cm="1">
        <f t="array" ref="G10">INDEX(Raming!D$5:L$10, VALUE(REPLACE($C$3,1,9,"")), ROW()-4)</f>
        <v>0</v>
      </c>
      <c r="H10" s="290"/>
      <c r="I10" s="316">
        <f>MIN(9*G10,D10*0.4)</f>
        <v>0</v>
      </c>
      <c r="J10" s="330">
        <f>Berekening!I10/$J$43*'Matrix kavel'!$B$3</f>
        <v>0</v>
      </c>
      <c r="K10" s="318">
        <f>D10/J$43*'Matrix kavel'!$B$3</f>
        <v>0</v>
      </c>
      <c r="L10" s="473">
        <f>P10-J10</f>
        <v>0</v>
      </c>
      <c r="M10" s="475">
        <f>Q10-J10</f>
        <v>0</v>
      </c>
      <c r="N10" s="319">
        <f>J10</f>
        <v>0</v>
      </c>
      <c r="O10" s="319">
        <f t="shared" ref="O10:O12" si="3">N10</f>
        <v>0</v>
      </c>
      <c r="P10" s="484">
        <f>MIN(35%*(K10+IF(K10&gt;0,K11,0)),1050)</f>
        <v>0</v>
      </c>
      <c r="Q10" s="485">
        <f>MIN(50%*(K10+IF(K10&gt;0,K11,0)),1500)</f>
        <v>0</v>
      </c>
    </row>
    <row r="11" spans="1:17" ht="15.75" customHeight="1" x14ac:dyDescent="0.25">
      <c r="A11" s="176"/>
      <c r="B11" s="331"/>
      <c r="C11" s="332" t="s">
        <v>87</v>
      </c>
      <c r="D11" s="446" cm="1">
        <f t="array" ref="D11">SUMPRODUCT(
  (Raming!E$14:E$200) *
  (INDEX(Raming!G$14:L$200, ROW(Raming!E$14:E$200)-13, VALUE(REPLACE(Berekening!$C$3,1,9,""))) = "x") *
  (Raming!F$14:F$200 = Berekening!C11)
)</f>
        <v>0</v>
      </c>
      <c r="E11" s="322">
        <v>0.06</v>
      </c>
      <c r="F11" s="323">
        <f t="shared" si="2"/>
        <v>0</v>
      </c>
      <c r="G11" s="451" cm="1">
        <f t="array" ref="G11">INDEX(Raming!D$5:L$10, VALUE(REPLACE($C$3,1,9,"")), ROW()-4)</f>
        <v>0</v>
      </c>
      <c r="H11" s="291"/>
      <c r="I11" s="324"/>
      <c r="J11" s="325"/>
      <c r="K11" s="326">
        <f>D11/J$43*'Matrix kavel'!$B$3</f>
        <v>0</v>
      </c>
      <c r="L11" s="474"/>
      <c r="M11" s="476"/>
      <c r="N11" s="327"/>
      <c r="O11" s="327"/>
      <c r="P11" s="492"/>
      <c r="Q11" s="493"/>
    </row>
    <row r="12" spans="1:17" ht="15.75" customHeight="1" x14ac:dyDescent="0.25">
      <c r="A12" s="176"/>
      <c r="B12" s="333"/>
      <c r="C12" s="295" t="s">
        <v>48</v>
      </c>
      <c r="D12" s="444" cm="1">
        <f t="array" ref="D12">SUMPRODUCT(
  (Raming!E$14:E$200) *
  (INDEX(Raming!G$14:L$200, ROW(Raming!E$14:E$200)-13, VALUE(REPLACE(Berekening!$C$3,1,9,""))) = "x") *
  (Raming!F$14:F$200 = Berekening!C12)
)</f>
        <v>0</v>
      </c>
      <c r="E12" s="296">
        <v>0.06</v>
      </c>
      <c r="F12" s="297">
        <f t="shared" si="2"/>
        <v>0</v>
      </c>
      <c r="G12" s="449" cm="1">
        <f t="array" ref="G12">INDEX(Raming!D$5:L$10, VALUE(REPLACE($C$3,1,9,"")), ROW()-4)</f>
        <v>0</v>
      </c>
      <c r="H12" s="288"/>
      <c r="I12" s="298">
        <f>MIN(64*G12,0.4*D12)</f>
        <v>0</v>
      </c>
      <c r="J12" s="334">
        <f>Berekening!I12/$J$43*'Matrix kavel'!$B$3</f>
        <v>0</v>
      </c>
      <c r="K12" s="300">
        <f>D12/J$43*'Matrix kavel'!$B$3</f>
        <v>0</v>
      </c>
      <c r="L12" s="479">
        <f>P12-J12</f>
        <v>0</v>
      </c>
      <c r="M12" s="480">
        <f>Q12-J12</f>
        <v>0</v>
      </c>
      <c r="N12" s="306">
        <f>J12</f>
        <v>0</v>
      </c>
      <c r="O12" s="306">
        <f t="shared" si="3"/>
        <v>0</v>
      </c>
      <c r="P12" s="477">
        <f>MIN(35%*(K12+K13),3675)</f>
        <v>0</v>
      </c>
      <c r="Q12" s="478">
        <f>MIN(50%*(K12+K13),5250)</f>
        <v>0</v>
      </c>
    </row>
    <row r="13" spans="1:17" ht="15.75" customHeight="1" x14ac:dyDescent="0.25">
      <c r="A13" s="176"/>
      <c r="B13" s="333"/>
      <c r="C13" s="295" t="s">
        <v>88</v>
      </c>
      <c r="D13" s="446" cm="1">
        <f t="array" ref="D13">SUMPRODUCT(
  (Raming!E$14:E$200) *
  (INDEX(Raming!G$14:L$200, ROW(Raming!E$14:E$200)-13, VALUE(REPLACE(Berekening!$C$3,1,9,""))) = "x") *
  (Raming!F$14:F$200 = Berekening!C13)
)</f>
        <v>0</v>
      </c>
      <c r="E13" s="296">
        <v>0.06</v>
      </c>
      <c r="F13" s="297">
        <f t="shared" ref="F13" si="4">D13+(D13*E13)</f>
        <v>0</v>
      </c>
      <c r="G13" s="449" cm="1">
        <f t="array" ref="G13">INDEX(Raming!D$5:L$10, VALUE(REPLACE($C$3,1,9,"")), ROW()-4)</f>
        <v>0</v>
      </c>
      <c r="H13" s="288"/>
      <c r="I13" s="309"/>
      <c r="J13" s="310"/>
      <c r="K13" s="300">
        <f>D13/J$43*'Matrix kavel'!$B$3</f>
        <v>0</v>
      </c>
      <c r="L13" s="479"/>
      <c r="M13" s="480"/>
      <c r="N13" s="311"/>
      <c r="O13" s="311"/>
      <c r="P13" s="477"/>
      <c r="Q13" s="478"/>
    </row>
    <row r="14" spans="1:17" ht="15.75" customHeight="1" x14ac:dyDescent="0.25">
      <c r="A14" s="176"/>
      <c r="B14" s="335"/>
      <c r="C14" s="336" t="s">
        <v>89</v>
      </c>
      <c r="D14" s="447" cm="1">
        <f t="array" ref="D14">SUMPRODUCT(
  (Raming!E$14:E$200) *
  (INDEX(Raming!G$14:L$200, ROW(Raming!E$14:E$200)-13, VALUE(REPLACE(Berekening!$C$3,1,9,""))) = "x") *
  (Raming!F$14:F$200 = Berekening!C14)
)</f>
        <v>0</v>
      </c>
      <c r="E14" s="337">
        <v>0.06</v>
      </c>
      <c r="F14" s="338">
        <f t="shared" si="2"/>
        <v>0</v>
      </c>
      <c r="G14" s="339"/>
      <c r="H14" s="292"/>
      <c r="I14" s="340"/>
      <c r="J14" s="341"/>
      <c r="K14" s="342">
        <f>D14/J$43*'Matrix kavel'!$B$3</f>
        <v>0</v>
      </c>
      <c r="L14" s="343"/>
      <c r="M14" s="344"/>
      <c r="N14" s="327"/>
      <c r="O14" s="327"/>
      <c r="P14" s="319">
        <f>MIN(K14*35%,1400)</f>
        <v>0</v>
      </c>
      <c r="Q14" s="345">
        <f>MIN(K14*50%,2000)</f>
        <v>0</v>
      </c>
    </row>
    <row r="15" spans="1:17" ht="15.75" customHeight="1" x14ac:dyDescent="0.25">
      <c r="A15" s="176"/>
      <c r="B15" s="346"/>
      <c r="C15" s="295" t="s">
        <v>90</v>
      </c>
      <c r="D15" s="445" cm="1">
        <f t="array" ref="D15">SUMPRODUCT(
  (Raming!E$14:E$200) *
  (INDEX(Raming!G$14:L$200, ROW(Raming!E$14:E$200)-13, VALUE(REPLACE(Berekening!$C$3,1,9,""))) = "x") *
  (Raming!F$14:F$200 = Berekening!C15)
)</f>
        <v>0</v>
      </c>
      <c r="E15" s="296">
        <v>0.06</v>
      </c>
      <c r="F15" s="297">
        <f t="shared" si="2"/>
        <v>0</v>
      </c>
      <c r="G15" s="347"/>
      <c r="H15" s="288"/>
      <c r="I15" s="309"/>
      <c r="J15" s="310"/>
      <c r="K15" s="300">
        <f>D15/J$43*'Matrix kavel'!$B$3</f>
        <v>0</v>
      </c>
      <c r="L15" s="304"/>
      <c r="M15" s="305"/>
      <c r="N15" s="348"/>
      <c r="O15" s="348"/>
      <c r="P15" s="307">
        <f>MIN(K15*35%,2100)</f>
        <v>0</v>
      </c>
      <c r="Q15" s="308">
        <f>MIN(K15*50%,3000)</f>
        <v>0</v>
      </c>
    </row>
    <row r="16" spans="1:17" ht="15.75" customHeight="1" x14ac:dyDescent="0.25">
      <c r="A16" s="176"/>
      <c r="B16" s="349" t="s">
        <v>91</v>
      </c>
      <c r="C16" s="350" t="s">
        <v>92</v>
      </c>
      <c r="D16" s="447" cm="1">
        <f t="array" ref="D16">SUMPRODUCT(
  (Raming!E$14:E$200) *
  (INDEX(Raming!G$14:L$200, ROW(Raming!E$14:E$200)-13, VALUE(REPLACE(Berekening!$C$3,1,9,""))) = "x") *
  (Raming!F$14:F$200 = Berekening!C16)
)</f>
        <v>0</v>
      </c>
      <c r="E16" s="337">
        <v>0.06</v>
      </c>
      <c r="F16" s="338">
        <f t="shared" si="2"/>
        <v>0</v>
      </c>
      <c r="G16" s="339"/>
      <c r="H16" s="293" t="s">
        <v>93</v>
      </c>
      <c r="I16" s="351">
        <f>IF(B16="Geothermisch",MIN((4000*IF(H16="Verhoging 50% premie",1.5,1))*Quotiteiten!C4,D16*0.4),
IF(B16="Lucht-water",MIN((2250*IF(H16="Verhoging 50% premie",1.5,1))*Quotiteiten!C4,D16*0.4),
IF(B16="Hybride",MIN((1500*IF(H16="Verhoging 50% premie",1.5,1))*Quotiteiten!C4,D16*0.4),
IF(B16="Lucht-lucht",MIN((300*IF(H16="Verhoging 50% premie",1.5,1))*Quotiteiten!C4,D16*0.4),
""))))</f>
        <v>0</v>
      </c>
      <c r="J16" s="352">
        <f>Berekening!I16/$J$43*'Matrix kavel'!$B$3</f>
        <v>0</v>
      </c>
      <c r="K16" s="342">
        <f>D16/J$43*'Matrix kavel'!$B$3</f>
        <v>0</v>
      </c>
      <c r="L16" s="353"/>
      <c r="M16" s="354"/>
      <c r="N16" s="311"/>
      <c r="O16" s="311"/>
      <c r="P16" s="311"/>
      <c r="Q16" s="366"/>
    </row>
    <row r="17" spans="1:17" ht="15.75" customHeight="1" x14ac:dyDescent="0.25">
      <c r="A17" s="176"/>
      <c r="B17" s="355"/>
      <c r="C17" s="356" t="s">
        <v>94</v>
      </c>
      <c r="D17" s="445" cm="1">
        <f t="array" ref="D17">SUMPRODUCT(
  (Raming!E$14:E$200) *
  (INDEX(Raming!G$14:L$200, ROW(Raming!E$14:E$200)-13, VALUE(REPLACE(Berekening!$C$3,1,9,""))) = "x") *
  (Raming!F$14:F$200 = Berekening!C17)
)</f>
        <v>0</v>
      </c>
      <c r="E17" s="296">
        <v>0.06</v>
      </c>
      <c r="F17" s="297">
        <f t="shared" si="2"/>
        <v>0</v>
      </c>
      <c r="G17" s="347"/>
      <c r="H17" s="288"/>
      <c r="I17" s="298">
        <f>MIN(D17*0.4,900*Quotiteiten!C4)</f>
        <v>0</v>
      </c>
      <c r="J17" s="334">
        <f>Berekening!I17/$J$43*'Matrix kavel'!$B$3</f>
        <v>0</v>
      </c>
      <c r="K17" s="300">
        <f>D17/J$43*'Matrix kavel'!$B$3</f>
        <v>0</v>
      </c>
      <c r="L17" s="357"/>
      <c r="M17" s="358"/>
      <c r="N17" s="311"/>
      <c r="O17" s="311"/>
      <c r="P17" s="311"/>
      <c r="Q17" s="366"/>
    </row>
    <row r="18" spans="1:17" ht="15.75" customHeight="1" thickBot="1" x14ac:dyDescent="0.3">
      <c r="A18" s="176"/>
      <c r="B18" s="359"/>
      <c r="C18" s="360" t="s">
        <v>63</v>
      </c>
      <c r="D18" s="444" cm="1">
        <f t="array" ref="D18">SUMPRODUCT(
  (Raming!E$14:E$200) *
  (INDEX(Raming!G$14:L$200, ROW(Raming!E$14:E$200)-13, VALUE(REPLACE(Berekening!$C$3,1,9,""))) = "x") *
  (Raming!F$14:F$200 = Berekening!C18)
)</f>
        <v>0</v>
      </c>
      <c r="E18" s="314">
        <v>0.06</v>
      </c>
      <c r="F18" s="315">
        <f>D18+(D18*E18)</f>
        <v>0</v>
      </c>
      <c r="G18" s="361"/>
      <c r="H18" s="290"/>
      <c r="I18" s="362"/>
      <c r="J18" s="363"/>
      <c r="K18" s="318">
        <f>D18/J$43*'Matrix kavel'!$B$3</f>
        <v>0</v>
      </c>
      <c r="L18" s="364"/>
      <c r="M18" s="365"/>
      <c r="N18" s="311"/>
      <c r="O18" s="311"/>
      <c r="P18" s="311"/>
      <c r="Q18" s="366"/>
    </row>
    <row r="19" spans="1:17" ht="15.75" customHeight="1" thickBot="1" x14ac:dyDescent="0.3">
      <c r="A19" s="176"/>
      <c r="B19" s="367" t="s">
        <v>95</v>
      </c>
      <c r="C19" s="368"/>
      <c r="D19" s="448">
        <f>SUM(D20:D23)</f>
        <v>7500</v>
      </c>
      <c r="E19" s="369"/>
      <c r="F19" s="369">
        <f>SUM(F20:F23)</f>
        <v>9075</v>
      </c>
      <c r="G19" s="370"/>
      <c r="H19" s="371"/>
      <c r="I19" s="372"/>
      <c r="J19" s="373"/>
      <c r="K19" s="374"/>
      <c r="L19" s="374"/>
      <c r="M19" s="375"/>
      <c r="N19" s="374"/>
      <c r="O19" s="374"/>
      <c r="P19" s="374"/>
      <c r="Q19" s="375"/>
    </row>
    <row r="20" spans="1:17" ht="15.75" customHeight="1" x14ac:dyDescent="0.25">
      <c r="A20" s="176"/>
      <c r="B20" s="301"/>
      <c r="C20" s="376" t="s">
        <v>96</v>
      </c>
      <c r="D20" s="445" cm="1">
        <f t="array" ref="D20">SUMPRODUCT(
  (Raming!E$14:E$200) *
  (INDEX(Raming!G$14:L$200, ROW(Raming!E$14:E$200)-13, VALUE(REPLACE(Berekening!$C$3,1,9,""))) = "x") *
  (Raming!F$14:F$200 = Berekening!C20)
)</f>
        <v>0</v>
      </c>
      <c r="E20" s="377">
        <v>0.06</v>
      </c>
      <c r="F20" s="378">
        <f>D20+(D20*E20)</f>
        <v>0</v>
      </c>
      <c r="G20" s="379"/>
      <c r="H20" s="288"/>
      <c r="I20" s="309"/>
      <c r="J20" s="310"/>
      <c r="K20" s="357"/>
      <c r="L20" s="357"/>
      <c r="M20" s="358"/>
      <c r="N20" s="348"/>
      <c r="O20" s="348"/>
      <c r="P20" s="348"/>
      <c r="Q20" s="380"/>
    </row>
    <row r="21" spans="1:17" ht="15.75" customHeight="1" x14ac:dyDescent="0.25">
      <c r="A21" s="176"/>
      <c r="B21" s="333"/>
      <c r="C21" s="381" t="s">
        <v>97</v>
      </c>
      <c r="D21" s="445" cm="1">
        <f t="array" ref="D21">SUMPRODUCT(
  (Raming!E$14:E$200) *
  (INDEX(Raming!G$14:L$200, ROW(Raming!E$14:E$200)-13, VALUE(REPLACE(Berekening!$C$3,1,9,""))) = "x") *
  (Raming!F$14:F$200 = Berekening!C21)
)</f>
        <v>0</v>
      </c>
      <c r="E21" s="377">
        <v>0.21</v>
      </c>
      <c r="F21" s="378">
        <f t="shared" ref="F21:F23" si="5">D21+(D21*E21)</f>
        <v>0</v>
      </c>
      <c r="G21" s="379"/>
      <c r="H21" s="288"/>
      <c r="I21" s="309"/>
      <c r="J21" s="310"/>
      <c r="K21" s="357"/>
      <c r="L21" s="357"/>
      <c r="M21" s="358"/>
      <c r="N21" s="348"/>
      <c r="O21" s="348"/>
      <c r="P21" s="348"/>
      <c r="Q21" s="380"/>
    </row>
    <row r="22" spans="1:17" ht="15.75" customHeight="1" x14ac:dyDescent="0.25">
      <c r="A22" s="176"/>
      <c r="B22" s="333"/>
      <c r="C22" s="381" t="s">
        <v>98</v>
      </c>
      <c r="D22" s="445" cm="1">
        <f t="array" ref="D22">SUMPRODUCT(
  (Raming!E$14:E$200) *
  (INDEX(Raming!G$14:L$200, ROW(Raming!E$14:E$200)-13, VALUE(REPLACE(Berekening!$C$3,1,9,""))) = "x") *
  (Raming!F$14:F$200 = Berekening!C22)
)</f>
        <v>0</v>
      </c>
      <c r="E22" s="377">
        <v>0.06</v>
      </c>
      <c r="F22" s="378">
        <f>D22+(D22*E22)</f>
        <v>0</v>
      </c>
      <c r="G22" s="379"/>
      <c r="H22" s="288"/>
      <c r="I22" s="309"/>
      <c r="J22" s="310"/>
      <c r="K22" s="357"/>
      <c r="L22" s="357"/>
      <c r="M22" s="358"/>
      <c r="N22" s="348"/>
      <c r="O22" s="348"/>
      <c r="P22" s="348"/>
      <c r="Q22" s="380"/>
    </row>
    <row r="23" spans="1:17" ht="15.75" customHeight="1" thickBot="1" x14ac:dyDescent="0.3">
      <c r="A23" s="176"/>
      <c r="B23" s="382"/>
      <c r="C23" s="383" t="s">
        <v>60</v>
      </c>
      <c r="D23" s="445" cm="1">
        <f t="array" ref="D23">SUMPRODUCT(
  (Raming!E$14:E$200) *
  (INDEX(Raming!G$14:L$200, ROW(Raming!E$14:E$200)-13, VALUE(REPLACE(Berekening!$C$3,1,9,""))) = "x") *
  (Raming!F$14:F$200 = Berekening!C23)
)</f>
        <v>7500</v>
      </c>
      <c r="E23" s="384">
        <v>0.21</v>
      </c>
      <c r="F23" s="385">
        <f t="shared" si="5"/>
        <v>9075</v>
      </c>
      <c r="G23" s="386"/>
      <c r="H23" s="387"/>
      <c r="I23" s="388"/>
      <c r="J23" s="389"/>
      <c r="K23" s="390"/>
      <c r="L23" s="390"/>
      <c r="M23" s="391"/>
      <c r="N23" s="392"/>
      <c r="O23" s="392"/>
      <c r="P23" s="392"/>
      <c r="Q23" s="393"/>
    </row>
    <row r="24" spans="1:17" ht="27" thickBot="1" x14ac:dyDescent="0.3">
      <c r="A24" s="12"/>
      <c r="B24" s="102" t="s">
        <v>99</v>
      </c>
      <c r="C24" s="103"/>
      <c r="D24" s="244">
        <f>SUM(D19,D4)</f>
        <v>33000</v>
      </c>
      <c r="E24" s="104">
        <f>F24-D24</f>
        <v>3105</v>
      </c>
      <c r="F24" s="104">
        <f>F19+F4</f>
        <v>36105</v>
      </c>
      <c r="G24" s="105"/>
      <c r="H24" s="106"/>
      <c r="I24" s="107">
        <f>SUM(I5:I23)</f>
        <v>480</v>
      </c>
      <c r="J24" s="108">
        <f>SUM(J5:J18)</f>
        <v>49.333333333333329</v>
      </c>
      <c r="K24" s="126">
        <f>SUM(K5:K18)</f>
        <v>2550</v>
      </c>
      <c r="L24" s="126"/>
      <c r="M24" s="121"/>
      <c r="N24" s="130">
        <f>SUM(N5:N23)</f>
        <v>49.333333333333329</v>
      </c>
      <c r="O24" s="130">
        <f>SUM(O5:O23)</f>
        <v>49.333333333333329</v>
      </c>
      <c r="P24" s="130">
        <f>SUM(P5:P23)</f>
        <v>892.5</v>
      </c>
      <c r="Q24" s="120">
        <f>SUM(Q5:Q23)</f>
        <v>1275</v>
      </c>
    </row>
    <row r="25" spans="1:17" ht="35.25" customHeight="1" x14ac:dyDescent="0.25">
      <c r="A25" s="12"/>
      <c r="B25" s="54"/>
      <c r="C25" s="55"/>
      <c r="D25" s="56"/>
      <c r="E25" s="57"/>
      <c r="F25" s="53"/>
    </row>
    <row r="26" spans="1:17" ht="21" customHeight="1" x14ac:dyDescent="0.25">
      <c r="B26" s="264"/>
      <c r="C26" s="257"/>
      <c r="D26" s="257"/>
      <c r="E26" s="257"/>
      <c r="F26" s="257"/>
    </row>
    <row r="27" spans="1:17" s="195" customFormat="1" ht="21" customHeight="1" x14ac:dyDescent="0.25">
      <c r="A27" s="267"/>
      <c r="B27" s="395" t="s">
        <v>100</v>
      </c>
      <c r="C27" s="262">
        <f>F24</f>
        <v>36105</v>
      </c>
      <c r="D27" s="261" t="s">
        <v>101</v>
      </c>
      <c r="E27" s="268"/>
      <c r="F27" s="257"/>
    </row>
    <row r="28" spans="1:17" ht="21" customHeight="1" x14ac:dyDescent="0.25">
      <c r="B28" s="265" t="s">
        <v>102</v>
      </c>
      <c r="C28" s="263" t="str">
        <f>IF(D54=0,"Er kan niet geleend worden via de MVL.",TEXT(D54,"€ #.##0"))</f>
        <v>€ 27.030</v>
      </c>
      <c r="D28" s="259">
        <f>G54</f>
        <v>0.74864977149979228</v>
      </c>
      <c r="E28" s="257"/>
      <c r="F28" s="257"/>
    </row>
    <row r="29" spans="1:17" ht="21" customHeight="1" x14ac:dyDescent="0.25">
      <c r="B29" s="265" t="s">
        <v>103</v>
      </c>
      <c r="C29" s="263" t="str">
        <f>IF(D55=0,"€ 0",TEXT(D55,"€ #.##0"))</f>
        <v>€ 9.075</v>
      </c>
      <c r="D29" s="260">
        <f>G55</f>
        <v>0.25135022850020772</v>
      </c>
      <c r="E29" s="257"/>
      <c r="F29" s="257"/>
    </row>
    <row r="30" spans="1:17" ht="21" customHeight="1" x14ac:dyDescent="0.25">
      <c r="B30" s="264"/>
      <c r="C30" s="258"/>
      <c r="D30" s="257"/>
      <c r="E30" s="257"/>
      <c r="F30" s="257"/>
    </row>
    <row r="31" spans="1:17" ht="21" customHeight="1" x14ac:dyDescent="0.25">
      <c r="B31" s="395" t="s">
        <v>104</v>
      </c>
      <c r="C31" s="263">
        <f>I24</f>
        <v>480</v>
      </c>
      <c r="D31" s="257"/>
      <c r="E31" s="257"/>
      <c r="F31" s="257"/>
    </row>
    <row r="32" spans="1:17" ht="21" customHeight="1" x14ac:dyDescent="0.25">
      <c r="B32" s="395" t="s">
        <v>105</v>
      </c>
      <c r="C32" s="266" t="str">
        <f>IF(Q24,"Ja, voor elke eigenaar uit inkomenscategorie 3 en 4", "Nee")</f>
        <v>Ja, voor elke eigenaar uit inkomenscategorie 3 en 4</v>
      </c>
      <c r="D32" s="257"/>
      <c r="E32" s="257"/>
      <c r="F32" s="257"/>
    </row>
    <row r="33" spans="1:21" ht="21" customHeight="1" x14ac:dyDescent="0.25">
      <c r="B33" s="264"/>
      <c r="C33" s="257"/>
      <c r="D33" s="257"/>
      <c r="E33" s="257"/>
      <c r="F33" s="257"/>
    </row>
    <row r="34" spans="1:21" ht="21" customHeight="1" x14ac:dyDescent="0.25">
      <c r="B34" s="264" t="str">
        <f>"De VME kan tot € " &amp; TEXT(D49,"#.##0") &amp; " lenen via de overheid. In dit scenario blijft er € " &amp; TEXT(D49-D54,"#.##0") &amp; " onbenut."</f>
        <v>De VME kan tot € 310.000 lenen via de overheid. In dit scenario blijft er € 282.970 onbenut.</v>
      </c>
      <c r="C34" s="287"/>
      <c r="D34" s="257"/>
      <c r="E34" s="257"/>
      <c r="F34" s="257"/>
    </row>
    <row r="35" spans="1:21" ht="21" customHeight="1" x14ac:dyDescent="0.25">
      <c r="B35" s="264"/>
      <c r="C35" s="257"/>
      <c r="D35" s="257"/>
      <c r="E35" s="257"/>
      <c r="F35" s="257"/>
    </row>
    <row r="36" spans="1:21" ht="35.25" customHeight="1" thickBot="1" x14ac:dyDescent="0.3">
      <c r="A36" s="12"/>
      <c r="B36" s="54"/>
      <c r="C36" s="55"/>
      <c r="D36" s="56"/>
      <c r="E36" s="57"/>
      <c r="F36" s="53"/>
    </row>
    <row r="37" spans="1:21" ht="30" customHeight="1" thickBot="1" x14ac:dyDescent="0.3">
      <c r="A37" s="12"/>
      <c r="B37" s="467" t="s">
        <v>106</v>
      </c>
      <c r="C37" s="468"/>
      <c r="D37" s="468"/>
      <c r="E37" s="468"/>
      <c r="F37" s="468"/>
      <c r="G37" s="468"/>
      <c r="H37" s="468"/>
      <c r="I37" s="468"/>
      <c r="J37" s="468"/>
      <c r="K37" s="468"/>
      <c r="L37" s="468"/>
      <c r="M37" s="468"/>
      <c r="N37" s="468"/>
      <c r="O37" s="468"/>
      <c r="P37" s="468"/>
      <c r="Q37" s="469"/>
    </row>
    <row r="38" spans="1:21" ht="15" customHeight="1" outlineLevel="1" thickBot="1" x14ac:dyDescent="0.3">
      <c r="A38" s="12"/>
      <c r="B38" s="54"/>
      <c r="C38" s="55"/>
      <c r="D38" s="56"/>
      <c r="E38" s="57"/>
      <c r="F38" s="53"/>
      <c r="G38" s="53"/>
      <c r="R38" s="36"/>
      <c r="S38" s="36"/>
      <c r="T38" s="36"/>
      <c r="U38" s="36"/>
    </row>
    <row r="39" spans="1:21" ht="15.75" outlineLevel="1" thickBot="1" x14ac:dyDescent="0.3">
      <c r="B39" s="47"/>
      <c r="C39" s="98" t="s">
        <v>107</v>
      </c>
      <c r="D39" s="98" t="s">
        <v>108</v>
      </c>
      <c r="E39" s="98" t="s">
        <v>109</v>
      </c>
      <c r="F39" s="99" t="s">
        <v>110</v>
      </c>
      <c r="G39" s="48" t="s">
        <v>111</v>
      </c>
    </row>
    <row r="40" spans="1:21" outlineLevel="1" x14ac:dyDescent="0.25">
      <c r="B40" s="46" t="s">
        <v>112</v>
      </c>
      <c r="C40" s="100">
        <f>'Aflossing VME MVL_lening 1'!B6</f>
        <v>25</v>
      </c>
      <c r="D40" s="100">
        <f>'Aflossing VME MVL_lening 1'!B5</f>
        <v>300</v>
      </c>
      <c r="E40" s="100">
        <f>MIN(D53,D54)</f>
        <v>27030</v>
      </c>
      <c r="F40" s="51">
        <f>'Aflossing VME MVL_lening 1'!B9</f>
        <v>107.97311028779086</v>
      </c>
      <c r="G40" s="178">
        <f>ABS(F40/J43)</f>
        <v>0.10797311028779086</v>
      </c>
    </row>
    <row r="41" spans="1:21" ht="30.75" outlineLevel="1" thickBot="1" x14ac:dyDescent="0.3">
      <c r="B41" s="43" t="s">
        <v>113</v>
      </c>
      <c r="C41" s="179" t="s">
        <v>114</v>
      </c>
      <c r="D41" s="101">
        <v>1</v>
      </c>
      <c r="E41" s="101">
        <f>'Aflossing VME MVL_lening 1'!E10</f>
        <v>0</v>
      </c>
      <c r="F41" s="101"/>
      <c r="G41" s="180">
        <f>E41/L43</f>
        <v>0</v>
      </c>
      <c r="H41" s="35"/>
    </row>
    <row r="42" spans="1:21" ht="15.75" outlineLevel="1" thickBot="1" x14ac:dyDescent="0.3">
      <c r="B42" s="44" t="s">
        <v>115</v>
      </c>
      <c r="C42" s="50"/>
      <c r="D42" s="50">
        <v>1</v>
      </c>
      <c r="E42" s="50">
        <f>F24-E40</f>
        <v>9075</v>
      </c>
      <c r="F42" s="50"/>
      <c r="G42" s="181">
        <f>ABS(E42/J43)</f>
        <v>9.0749999999999993</v>
      </c>
    </row>
    <row r="43" spans="1:21" ht="30.75" outlineLevel="1" thickBot="1" x14ac:dyDescent="0.3">
      <c r="B43" s="42" t="s">
        <v>116</v>
      </c>
      <c r="C43" s="51">
        <f>'Aflossing VME bank_lening 2'!B6</f>
        <v>20</v>
      </c>
      <c r="D43" s="51">
        <f>'Aflossing VME bank_lening 2'!B5</f>
        <v>240</v>
      </c>
      <c r="E43" s="51">
        <f>E42</f>
        <v>9075</v>
      </c>
      <c r="F43" s="51">
        <f>'Aflossing VME bank_lening 2'!B9</f>
        <v>56.971877529321617</v>
      </c>
      <c r="G43" s="182">
        <f>ABS(F43/J43)</f>
        <v>5.6971877529321618E-2</v>
      </c>
      <c r="I43" s="40" t="s">
        <v>117</v>
      </c>
      <c r="J43" s="71">
        <f>Quotiteiten!D6</f>
        <v>1000</v>
      </c>
      <c r="K43" s="70" t="s">
        <v>118</v>
      </c>
      <c r="L43" s="71">
        <f>Quotiteiten!D4</f>
        <v>960</v>
      </c>
      <c r="M43" s="70" t="s">
        <v>119</v>
      </c>
      <c r="N43" s="72">
        <f>Quotiteiten!D5</f>
        <v>40</v>
      </c>
    </row>
    <row r="44" spans="1:21" ht="30.75" outlineLevel="1" thickBot="1" x14ac:dyDescent="0.3">
      <c r="B44" s="45" t="s">
        <v>120</v>
      </c>
      <c r="C44" s="179" t="s">
        <v>114</v>
      </c>
      <c r="D44" s="101">
        <v>1</v>
      </c>
      <c r="E44" s="101">
        <f>'Aflossing VME bank_lening 2'!E10</f>
        <v>0</v>
      </c>
      <c r="F44" s="101"/>
      <c r="G44" s="180">
        <f>E44/J43</f>
        <v>0</v>
      </c>
    </row>
    <row r="45" spans="1:21" ht="30.75" outlineLevel="1" thickBot="1" x14ac:dyDescent="0.3">
      <c r="B45" s="42" t="s">
        <v>121</v>
      </c>
      <c r="C45" s="51">
        <f>'Aflossing VME bank_lening 3'!B6</f>
        <v>20</v>
      </c>
      <c r="D45" s="51">
        <f>'Aflossing VME bank_lening 3'!B5</f>
        <v>240</v>
      </c>
      <c r="E45" s="51">
        <f>D54+D55</f>
        <v>36105</v>
      </c>
      <c r="F45" s="51">
        <f>'Aflossing VME bank_lening 3'!B9</f>
        <v>226.66332101335061</v>
      </c>
      <c r="G45" s="182">
        <f>ABS(F45/J43)</f>
        <v>0.2266633210133506</v>
      </c>
      <c r="I45" s="464" t="s">
        <v>122</v>
      </c>
      <c r="J45" s="465"/>
      <c r="K45" s="466"/>
      <c r="L45" s="62">
        <f>F24/J43</f>
        <v>36.104999999999997</v>
      </c>
      <c r="P45" s="5"/>
    </row>
    <row r="46" spans="1:21" ht="30.75" outlineLevel="1" thickBot="1" x14ac:dyDescent="0.3">
      <c r="B46" s="45" t="s">
        <v>123</v>
      </c>
      <c r="C46" s="183" t="s">
        <v>114</v>
      </c>
      <c r="D46" s="52">
        <v>1</v>
      </c>
      <c r="E46" s="52">
        <f>'Aflossing VME bank_lening 3'!E10</f>
        <v>0</v>
      </c>
      <c r="F46" s="52"/>
      <c r="G46" s="184">
        <f>E46/J43</f>
        <v>0</v>
      </c>
      <c r="H46" s="35"/>
      <c r="I46" s="464" t="s">
        <v>124</v>
      </c>
      <c r="J46" s="465"/>
      <c r="K46" s="466"/>
      <c r="L46" s="62">
        <f>I24/J43</f>
        <v>0.48</v>
      </c>
      <c r="Q46" s="36"/>
    </row>
    <row r="47" spans="1:21" ht="20.100000000000001" customHeight="1" outlineLevel="1" thickBot="1" x14ac:dyDescent="0.3">
      <c r="A47" s="12"/>
      <c r="B47" s="54"/>
      <c r="C47" s="55"/>
      <c r="D47" s="56"/>
      <c r="E47" s="57"/>
      <c r="F47" s="53"/>
      <c r="G47" s="53"/>
      <c r="R47" s="36"/>
      <c r="S47" s="36"/>
      <c r="T47" s="36"/>
      <c r="U47" s="36"/>
    </row>
    <row r="48" spans="1:21" ht="20.100000000000001" customHeight="1" outlineLevel="1" x14ac:dyDescent="0.25">
      <c r="B48" s="269" t="s">
        <v>125</v>
      </c>
      <c r="C48" s="270"/>
      <c r="D48" s="271"/>
      <c r="E48" s="272"/>
      <c r="F48" s="273"/>
      <c r="G48" s="274"/>
    </row>
    <row r="49" spans="2:8" ht="20.100000000000001" customHeight="1" outlineLevel="1" x14ac:dyDescent="0.25">
      <c r="B49" s="482" t="s">
        <v>126</v>
      </c>
      <c r="C49" s="483"/>
      <c r="D49" s="277">
        <f>MIN(60000+25000*Quotiteiten!C4,G4)</f>
        <v>310000</v>
      </c>
      <c r="E49" s="278"/>
      <c r="F49" s="279"/>
      <c r="G49" s="397"/>
    </row>
    <row r="50" spans="2:8" ht="20.100000000000001" customHeight="1" outlineLevel="1" x14ac:dyDescent="0.25">
      <c r="B50" s="275" t="s">
        <v>127</v>
      </c>
      <c r="C50" s="398"/>
      <c r="D50" s="277">
        <f>5300*Quotiteiten!C4</f>
        <v>53000</v>
      </c>
      <c r="E50" s="278"/>
      <c r="F50" s="279"/>
      <c r="G50" s="397"/>
      <c r="H50" s="394"/>
    </row>
    <row r="51" spans="2:8" ht="20.100000000000001" customHeight="1" outlineLevel="1" thickBot="1" x14ac:dyDescent="0.3">
      <c r="B51" s="281" t="s">
        <v>128</v>
      </c>
      <c r="C51" s="399"/>
      <c r="D51" s="283">
        <f>7950*Quotiteiten!C4</f>
        <v>79500</v>
      </c>
      <c r="E51" s="284"/>
      <c r="F51" s="285"/>
      <c r="G51" s="286"/>
    </row>
    <row r="52" spans="2:8" ht="20.100000000000001" customHeight="1" outlineLevel="1" thickBot="1" x14ac:dyDescent="0.3">
      <c r="B52" s="69"/>
      <c r="C52" s="65"/>
      <c r="D52" s="30"/>
      <c r="E52" s="66"/>
      <c r="F52" s="67"/>
      <c r="G52" s="68"/>
    </row>
    <row r="53" spans="2:8" ht="20.100000000000001" customHeight="1" outlineLevel="1" x14ac:dyDescent="0.25">
      <c r="B53" s="269" t="s">
        <v>129</v>
      </c>
      <c r="C53" s="270"/>
      <c r="D53" s="271"/>
      <c r="E53" s="272"/>
      <c r="F53" s="273"/>
      <c r="G53" s="274"/>
    </row>
    <row r="54" spans="2:8" ht="20.100000000000001" customHeight="1" outlineLevel="1" x14ac:dyDescent="0.25">
      <c r="B54" s="275" t="s">
        <v>130</v>
      </c>
      <c r="C54" s="276"/>
      <c r="D54" s="277">
        <f>MIN(
   SUM(F5:F13) - F7 - F9 - F11 +
   IF(F5&gt;0,F7,0) +
   IF(F8&gt;0,F9,0) +
   IF(F10&gt;0,F11,0) +
   MIN(F14,D50) +
   MIN(F15,D51) +
   SUM(F16:F18),
   D49
)</f>
        <v>27030</v>
      </c>
      <c r="E54" s="278" t="s">
        <v>131</v>
      </c>
      <c r="F54" s="279" t="s">
        <v>132</v>
      </c>
      <c r="G54" s="280">
        <f>(D54/F24)*1</f>
        <v>0.74864977149979228</v>
      </c>
    </row>
    <row r="55" spans="2:8" ht="20.100000000000001" customHeight="1" outlineLevel="1" thickBot="1" x14ac:dyDescent="0.3">
      <c r="B55" s="281" t="s">
        <v>133</v>
      </c>
      <c r="C55" s="282"/>
      <c r="D55" s="283">
        <f>MAX(F19,F24-D54)</f>
        <v>9075</v>
      </c>
      <c r="E55" s="284" t="s">
        <v>131</v>
      </c>
      <c r="F55" s="285" t="s">
        <v>134</v>
      </c>
      <c r="G55" s="286">
        <f>(D55/F24)*1</f>
        <v>0.25135022850020772</v>
      </c>
    </row>
    <row r="56" spans="2:8" ht="20.100000000000001" customHeight="1" x14ac:dyDescent="0.25"/>
    <row r="57" spans="2:8" ht="20.100000000000001" customHeight="1" x14ac:dyDescent="0.25"/>
    <row r="58" spans="2:8" ht="20.100000000000001" customHeight="1" x14ac:dyDescent="0.25"/>
    <row r="59" spans="2:8" ht="20.100000000000001" customHeight="1" x14ac:dyDescent="0.25"/>
    <row r="60" spans="2:8" ht="20.100000000000001" customHeight="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sheetData>
  <mergeCells count="25">
    <mergeCell ref="K1:P1"/>
    <mergeCell ref="B49:C49"/>
    <mergeCell ref="P5:P7"/>
    <mergeCell ref="Q5:Q7"/>
    <mergeCell ref="L5:L7"/>
    <mergeCell ref="M5:M7"/>
    <mergeCell ref="N2:Q2"/>
    <mergeCell ref="O5:O6"/>
    <mergeCell ref="N5:N6"/>
    <mergeCell ref="P8:P9"/>
    <mergeCell ref="Q8:Q9"/>
    <mergeCell ref="M8:M9"/>
    <mergeCell ref="L8:L9"/>
    <mergeCell ref="P10:P11"/>
    <mergeCell ref="Q10:Q11"/>
    <mergeCell ref="I45:K45"/>
    <mergeCell ref="I46:K46"/>
    <mergeCell ref="B37:Q37"/>
    <mergeCell ref="J2:M2"/>
    <mergeCell ref="L10:L11"/>
    <mergeCell ref="M10:M11"/>
    <mergeCell ref="P12:P13"/>
    <mergeCell ref="Q12:Q13"/>
    <mergeCell ref="L12:L13"/>
    <mergeCell ref="M12:M13"/>
  </mergeCells>
  <phoneticPr fontId="29" type="noConversion"/>
  <dataValidations count="4">
    <dataValidation type="list" allowBlank="1" showInputMessage="1" showErrorMessage="1" sqref="B8:B9" xr:uid="{88470A65-5C4B-4225-BB09-0934FBE10074}">
      <formula1>"Spouwmuur, Binnenkant, Buitenkant"</formula1>
    </dataValidation>
    <dataValidation type="list" allowBlank="1" showInputMessage="1" showErrorMessage="1" sqref="B16" xr:uid="{DBE8AC0E-C491-4F6F-9490-39BFD658FCC8}">
      <formula1>"Geothermisch, Lucht-water, Lucht-lucht, Hybride"</formula1>
    </dataValidation>
    <dataValidation type="list" allowBlank="1" showInputMessage="1" showErrorMessage="1" sqref="H16" xr:uid="{4746EF9D-1321-4596-8091-C8DDFABFA319}">
      <formula1>"Verhoging 50% premie, Geen verhoging premie"</formula1>
    </dataValidation>
    <dataValidation type="list" allowBlank="1" showInputMessage="1" showErrorMessage="1" sqref="H6" xr:uid="{79045AD5-AE63-4008-8916-C9DEE24015ED}">
      <formula1>"Bonus asbest, Geen bonus asbest"</formula1>
    </dataValidation>
  </dataValidations>
  <pageMargins left="0.7" right="0.7" top="0.75" bottom="0.75" header="0.3" footer="0.3"/>
  <pageSetup paperSize="8" fitToWidth="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50F0E5E-FEE6-4ACC-8478-7FA0AF3C3F81}">
          <x14:formula1>
            <xm:f>Raming!$B$5:$B$10</xm:f>
          </x14:formula1>
          <xm:sqref>C3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E1EC4-00A5-4A94-8789-C088CBB1A15A}">
  <sheetPr>
    <tabColor theme="6" tint="0.39997558519241921"/>
    <pageSetUpPr fitToPage="1"/>
  </sheetPr>
  <dimension ref="B1:U28"/>
  <sheetViews>
    <sheetView topLeftCell="A5" workbookViewId="0">
      <selection activeCell="K4" sqref="K4"/>
    </sheetView>
  </sheetViews>
  <sheetFormatPr defaultColWidth="9.140625" defaultRowHeight="15" x14ac:dyDescent="0.25"/>
  <cols>
    <col min="1" max="1" width="7.5703125" style="4" customWidth="1"/>
    <col min="2" max="2" width="42.7109375" style="4" customWidth="1"/>
    <col min="3" max="6" width="33.140625" style="4" customWidth="1"/>
    <col min="7" max="8" width="8.85546875" style="4" customWidth="1"/>
    <col min="9" max="16384" width="9.140625" style="4"/>
  </cols>
  <sheetData>
    <row r="1" spans="2:21" ht="15.75" thickBot="1" x14ac:dyDescent="0.3"/>
    <row r="2" spans="2:21" x14ac:dyDescent="0.25">
      <c r="B2" s="119" t="s">
        <v>135</v>
      </c>
      <c r="C2" s="83" t="s">
        <v>136</v>
      </c>
      <c r="D2" s="83" t="s">
        <v>137</v>
      </c>
      <c r="E2" s="83" t="s">
        <v>138</v>
      </c>
      <c r="F2" s="83" t="s">
        <v>139</v>
      </c>
    </row>
    <row r="3" spans="2:21" ht="39.75" customHeight="1" thickBot="1" x14ac:dyDescent="0.3">
      <c r="B3" s="452">
        <f>Quotiteiten!E4</f>
        <v>100</v>
      </c>
      <c r="C3" s="81" t="s">
        <v>140</v>
      </c>
      <c r="D3" s="82" t="s">
        <v>141</v>
      </c>
      <c r="E3" s="81" t="s">
        <v>142</v>
      </c>
      <c r="F3" s="82" t="s">
        <v>143</v>
      </c>
    </row>
    <row r="4" spans="2:21" ht="22.5" customHeight="1" thickBot="1" x14ac:dyDescent="0.3">
      <c r="B4" s="494" t="s">
        <v>144</v>
      </c>
      <c r="C4" s="495"/>
      <c r="D4" s="495"/>
      <c r="E4" s="495"/>
      <c r="F4" s="496"/>
    </row>
    <row r="5" spans="2:21" s="9" customFormat="1" ht="30" customHeight="1" thickBot="1" x14ac:dyDescent="0.3">
      <c r="B5" s="138"/>
      <c r="C5" s="78">
        <f>Berekening!L45*'Matrix kavel'!B3</f>
        <v>3610.4999999999995</v>
      </c>
      <c r="D5" s="78">
        <f>B3*Berekening!G42</f>
        <v>907.49999999999989</v>
      </c>
      <c r="E5" s="78">
        <v>0</v>
      </c>
      <c r="F5" s="93">
        <v>0</v>
      </c>
      <c r="P5" s="4"/>
      <c r="Q5" s="4"/>
      <c r="R5" s="4"/>
      <c r="S5" s="4"/>
      <c r="T5" s="4"/>
      <c r="U5" s="4"/>
    </row>
    <row r="6" spans="2:21" ht="22.5" customHeight="1" thickBot="1" x14ac:dyDescent="0.3">
      <c r="B6" s="494" t="s">
        <v>145</v>
      </c>
      <c r="C6" s="495"/>
      <c r="D6" s="495"/>
      <c r="E6" s="495"/>
      <c r="F6" s="496"/>
    </row>
    <row r="7" spans="2:21" ht="15" customHeight="1" x14ac:dyDescent="0.25">
      <c r="B7" s="139" t="s">
        <v>146</v>
      </c>
      <c r="C7" s="509"/>
      <c r="D7" s="512">
        <f>B3*Berekening!G40</f>
        <v>10.797311028779086</v>
      </c>
      <c r="E7" s="512">
        <f>B3*Berekening!G40</f>
        <v>10.797311028779086</v>
      </c>
      <c r="F7" s="514"/>
    </row>
    <row r="8" spans="2:21" s="9" customFormat="1" ht="15" customHeight="1" x14ac:dyDescent="0.25">
      <c r="B8" s="140" t="str">
        <f>"Looptijd " &amp; 'Aflossing VME MVL_lening 1'!B6 &amp; " jaar"</f>
        <v>Looptijd 25 jaar</v>
      </c>
      <c r="C8" s="510"/>
      <c r="D8" s="497"/>
      <c r="E8" s="497"/>
      <c r="F8" s="515"/>
      <c r="P8" s="4"/>
      <c r="Q8" s="4"/>
      <c r="R8" s="4"/>
      <c r="S8" s="4"/>
      <c r="T8" s="4"/>
      <c r="U8" s="4"/>
    </row>
    <row r="9" spans="2:21" s="9" customFormat="1" ht="15" customHeight="1" x14ac:dyDescent="0.25">
      <c r="B9" s="141" t="str">
        <f>"Rentevoet " &amp; ('Aflossing VME MVL_lening 1'!B8 * 100) &amp; "%"</f>
        <v>Rentevoet 1,5%</v>
      </c>
      <c r="C9" s="511"/>
      <c r="D9" s="513"/>
      <c r="E9" s="513"/>
      <c r="F9" s="516"/>
      <c r="P9" s="4"/>
      <c r="Q9" s="4"/>
      <c r="R9" s="4"/>
      <c r="S9" s="4"/>
      <c r="T9" s="4"/>
      <c r="U9" s="4"/>
    </row>
    <row r="10" spans="2:21" ht="15" customHeight="1" x14ac:dyDescent="0.25">
      <c r="B10" s="142" t="s">
        <v>147</v>
      </c>
      <c r="C10" s="508"/>
      <c r="D10" s="508"/>
      <c r="E10" s="497">
        <f>B3*Berekening!G43</f>
        <v>5.6971877529321615</v>
      </c>
      <c r="F10" s="498">
        <f>B3*Berekening!G45</f>
        <v>22.666332101335058</v>
      </c>
    </row>
    <row r="11" spans="2:21" s="9" customFormat="1" ht="15" customHeight="1" x14ac:dyDescent="0.25">
      <c r="B11" s="140" t="str">
        <f>"Looptijd " &amp; 'Aflossing VME bank_lening 3'!B6 &amp; " jaar"</f>
        <v>Looptijd 20 jaar</v>
      </c>
      <c r="C11" s="508"/>
      <c r="D11" s="508"/>
      <c r="E11" s="497"/>
      <c r="F11" s="498"/>
    </row>
    <row r="12" spans="2:21" s="9" customFormat="1" ht="15" customHeight="1" thickBot="1" x14ac:dyDescent="0.3">
      <c r="B12" s="143" t="str">
        <f>"Rentevoet " &amp; ('Aflossing VME bank_lening 3'!B8 * 100) &amp; "%"</f>
        <v>Rentevoet 4,5%</v>
      </c>
      <c r="C12" s="508"/>
      <c r="D12" s="508"/>
      <c r="E12" s="497"/>
      <c r="F12" s="498"/>
    </row>
    <row r="13" spans="2:21" ht="22.5" customHeight="1" thickBot="1" x14ac:dyDescent="0.3">
      <c r="B13" s="47" t="s">
        <v>148</v>
      </c>
      <c r="C13" s="80"/>
      <c r="D13" s="94">
        <f>D7+D10</f>
        <v>10.797311028779086</v>
      </c>
      <c r="E13" s="80">
        <f t="shared" ref="E13:F13" si="0">E7+E10</f>
        <v>16.494498781711247</v>
      </c>
      <c r="F13" s="80">
        <f t="shared" si="0"/>
        <v>22.666332101335058</v>
      </c>
      <c r="G13" s="400"/>
      <c r="H13" s="400"/>
      <c r="I13" s="400"/>
      <c r="J13" s="400"/>
    </row>
    <row r="14" spans="2:21" ht="22.5" customHeight="1" thickBot="1" x14ac:dyDescent="0.3">
      <c r="B14" s="47" t="s">
        <v>149</v>
      </c>
      <c r="C14" s="80">
        <f>C5</f>
        <v>3610.4999999999995</v>
      </c>
      <c r="D14" s="94">
        <f>D5+D7*'Aflossing VME MVL_lening 1'!B5</f>
        <v>4146.6933086337258</v>
      </c>
      <c r="E14" s="80">
        <f>(E7*'Aflossing VME MVL_lening 1'!B5)+(E10*'Aflossing VME bank_lening 2'!B5)</f>
        <v>4606.5183693374447</v>
      </c>
      <c r="F14" s="80">
        <f>(F10*'Aflossing VME bank_lening 3'!B5)</f>
        <v>5439.919704320414</v>
      </c>
      <c r="G14" s="400"/>
      <c r="H14" s="400"/>
      <c r="I14" s="400"/>
      <c r="J14" s="400"/>
    </row>
    <row r="15" spans="2:21" ht="22.5" customHeight="1" thickBot="1" x14ac:dyDescent="0.3">
      <c r="B15" s="151" t="s">
        <v>150</v>
      </c>
      <c r="C15" s="152"/>
      <c r="D15" s="153" t="str">
        <f>"€ " &amp; TEXT('Aflossing VME MVL_lening 1'!E6*'Matrix kavel'!B3,"#.##0") &amp; "  tot  € " &amp; TEXT('Aflossing VME MVL_lening 1'!E9*'Matrix kavel'!B3,"#.##0")</f>
        <v>€ 63  tot  € 105</v>
      </c>
      <c r="E15" s="152" t="str">
        <f>"€ " &amp; TEXT(('Aflossing VME MVL_lening 1'!E6*'Matrix kavel'!B3)+('Aflossing VME bank_lening 2'!E6*'Matrix kavel'!B3),"#.##0") &amp; "  tot  € " &amp; TEXT(('Aflossing VME MVL_lening 1'!E9*'Matrix kavel'!B3)+('Aflossing VME bank_lening 2'!E9*'Matrix kavel'!B3),"#.##0")</f>
        <v>€ 126  tot  € 168</v>
      </c>
      <c r="F15" s="152" t="str">
        <f>"€ " &amp; TEXT('Aflossing VME bank_lening 3'!E6*B3,"#.##0") &amp; "  tot  € " &amp; TEXT('Aflossing VME bank_lening 3'!E9*B3,"#.##0")</f>
        <v>€ 63  tot  € 138</v>
      </c>
      <c r="G15" s="400"/>
      <c r="H15" s="400"/>
      <c r="I15" s="400"/>
      <c r="J15" s="400"/>
    </row>
    <row r="16" spans="2:21" ht="9" customHeight="1" thickBot="1" x14ac:dyDescent="0.3">
      <c r="B16" s="137"/>
      <c r="C16" s="79"/>
      <c r="D16" s="79"/>
      <c r="E16" s="79"/>
      <c r="F16" s="79"/>
      <c r="G16" s="400"/>
      <c r="H16" s="400"/>
      <c r="I16" s="400"/>
      <c r="J16" s="400"/>
    </row>
    <row r="17" spans="2:10" ht="30.75" customHeight="1" thickBot="1" x14ac:dyDescent="0.3">
      <c r="B17" s="494" t="s">
        <v>151</v>
      </c>
      <c r="C17" s="495"/>
      <c r="D17" s="495"/>
      <c r="E17" s="495"/>
      <c r="F17" s="496"/>
      <c r="G17" s="400"/>
      <c r="H17" s="400"/>
      <c r="I17" s="400"/>
      <c r="J17" s="400"/>
    </row>
    <row r="18" spans="2:10" ht="37.5" customHeight="1" x14ac:dyDescent="0.25">
      <c r="B18" s="144" t="s">
        <v>152</v>
      </c>
      <c r="C18" s="499">
        <f>Berekening!J24</f>
        <v>49.333333333333329</v>
      </c>
      <c r="D18" s="500"/>
      <c r="E18" s="500"/>
      <c r="F18" s="501"/>
      <c r="G18" s="132">
        <f>Berekening!N24</f>
        <v>49.333333333333329</v>
      </c>
      <c r="H18" s="401"/>
      <c r="I18" s="400"/>
      <c r="J18" s="400"/>
    </row>
    <row r="19" spans="2:10" ht="37.5" customHeight="1" x14ac:dyDescent="0.25">
      <c r="B19" s="145" t="s">
        <v>153</v>
      </c>
      <c r="C19" s="502">
        <f>C18</f>
        <v>49.333333333333329</v>
      </c>
      <c r="D19" s="503"/>
      <c r="E19" s="503"/>
      <c r="F19" s="504"/>
      <c r="G19" s="132">
        <f>Berekening!O24</f>
        <v>49.333333333333329</v>
      </c>
      <c r="H19" s="401"/>
      <c r="I19" s="400"/>
      <c r="J19" s="400"/>
    </row>
    <row r="20" spans="2:10" ht="37.5" customHeight="1" x14ac:dyDescent="0.25">
      <c r="B20" s="145" t="s">
        <v>154</v>
      </c>
      <c r="C20" s="517" t="str">
        <f>"€ " &amp; TEXT(C18,"#.##0") &amp; "    +     € " &amp; TEXT(Berekening!P24-C18,"#.##0")</f>
        <v>€ 49    +     € 843</v>
      </c>
      <c r="D20" s="518"/>
      <c r="E20" s="518"/>
      <c r="F20" s="519"/>
      <c r="G20" s="132">
        <f>Berekening!P24</f>
        <v>892.5</v>
      </c>
      <c r="H20" s="404"/>
      <c r="I20" s="405"/>
      <c r="J20" s="400"/>
    </row>
    <row r="21" spans="2:10" ht="37.5" customHeight="1" thickBot="1" x14ac:dyDescent="0.3">
      <c r="B21" s="146" t="s">
        <v>155</v>
      </c>
      <c r="C21" s="505" t="str">
        <f>"€ " &amp; TEXT(C18,"#.##0") &amp; "    +     € " &amp; TEXT(Berekening!Q24-C18,"#.##0")</f>
        <v>€ 49    +     € 1.226</v>
      </c>
      <c r="D21" s="506"/>
      <c r="E21" s="506"/>
      <c r="F21" s="507"/>
      <c r="G21" s="132">
        <f>Berekening!Q24</f>
        <v>1275</v>
      </c>
      <c r="H21" s="404"/>
      <c r="I21" s="405"/>
      <c r="J21" s="400"/>
    </row>
    <row r="22" spans="2:10" ht="21.6" hidden="1" customHeight="1" thickBot="1" x14ac:dyDescent="0.3">
      <c r="B22" s="38" t="s">
        <v>156</v>
      </c>
      <c r="C22" s="39" t="e">
        <f>Berekening!#REF!*'Matrix kavel'!B3</f>
        <v>#REF!</v>
      </c>
      <c r="D22" s="73" t="e">
        <f>Berekening!#REF!*'Matrix kavel'!B3</f>
        <v>#REF!</v>
      </c>
      <c r="E22" s="73" t="e">
        <f>Berekening!#REF!*'Matrix kavel'!B3</f>
        <v>#REF!</v>
      </c>
      <c r="F22" s="73" t="e">
        <f>Berekening!#REF!*'Matrix kavel'!B3</f>
        <v>#REF!</v>
      </c>
      <c r="G22" s="406"/>
      <c r="H22" s="400"/>
      <c r="I22" s="400"/>
      <c r="J22" s="400"/>
    </row>
    <row r="23" spans="2:10" ht="9" customHeight="1" thickBot="1" x14ac:dyDescent="0.3">
      <c r="B23" s="137"/>
      <c r="C23" s="79"/>
      <c r="D23" s="79"/>
      <c r="E23" s="79"/>
      <c r="F23" s="79"/>
      <c r="G23" s="406"/>
      <c r="H23" s="400"/>
      <c r="I23" s="400"/>
      <c r="J23" s="400"/>
    </row>
    <row r="24" spans="2:10" ht="30.75" customHeight="1" thickBot="1" x14ac:dyDescent="0.3">
      <c r="B24" s="494" t="s">
        <v>157</v>
      </c>
      <c r="C24" s="495"/>
      <c r="D24" s="495"/>
      <c r="E24" s="495"/>
      <c r="F24" s="496"/>
      <c r="G24" s="406"/>
      <c r="H24" s="400"/>
      <c r="I24" s="400"/>
      <c r="J24" s="400"/>
    </row>
    <row r="25" spans="2:10" ht="30" customHeight="1" x14ac:dyDescent="0.25">
      <c r="B25" s="147" t="s">
        <v>158</v>
      </c>
      <c r="C25" s="85">
        <f>C14-$C$18</f>
        <v>3561.1666666666661</v>
      </c>
      <c r="D25" s="86">
        <f>D14-C18</f>
        <v>4097.3599753003928</v>
      </c>
      <c r="E25" s="86">
        <f>E14-C18</f>
        <v>4557.1850360041117</v>
      </c>
      <c r="F25" s="87">
        <f>F14-C18</f>
        <v>5390.586370987081</v>
      </c>
      <c r="G25" s="406"/>
      <c r="H25" s="400"/>
      <c r="I25" s="400"/>
      <c r="J25" s="400"/>
    </row>
    <row r="26" spans="2:10" ht="30" customHeight="1" x14ac:dyDescent="0.25">
      <c r="B26" s="148" t="s">
        <v>159</v>
      </c>
      <c r="C26" s="89">
        <f>C14-C19</f>
        <v>3561.1666666666661</v>
      </c>
      <c r="D26" s="89">
        <f>D14-C19</f>
        <v>4097.3599753003928</v>
      </c>
      <c r="E26" s="89">
        <f>E14-C19</f>
        <v>4557.1850360041117</v>
      </c>
      <c r="F26" s="90">
        <f>F14-C19</f>
        <v>5390.586370987081</v>
      </c>
    </row>
    <row r="27" spans="2:10" ht="30" customHeight="1" x14ac:dyDescent="0.25">
      <c r="B27" s="149" t="s">
        <v>160</v>
      </c>
      <c r="C27" s="88">
        <f>C14-G20</f>
        <v>2717.9999999999995</v>
      </c>
      <c r="D27" s="89">
        <f>D14-$G$20</f>
        <v>3254.1933086337258</v>
      </c>
      <c r="E27" s="89">
        <f>E14-$G$20</f>
        <v>3714.0183693374447</v>
      </c>
      <c r="F27" s="90">
        <f>F14-$G$20</f>
        <v>4547.419704320414</v>
      </c>
    </row>
    <row r="28" spans="2:10" ht="30" customHeight="1" thickBot="1" x14ac:dyDescent="0.3">
      <c r="B28" s="150" t="s">
        <v>161</v>
      </c>
      <c r="C28" s="91">
        <f>C14-$G$21</f>
        <v>2335.4999999999995</v>
      </c>
      <c r="D28" s="92">
        <f>D14-$G$21</f>
        <v>2871.6933086337258</v>
      </c>
      <c r="E28" s="92">
        <f>E14-$G$21</f>
        <v>3331.5183693374447</v>
      </c>
      <c r="F28" s="91">
        <f>F14-$G$21</f>
        <v>4164.919704320414</v>
      </c>
    </row>
  </sheetData>
  <mergeCells count="16">
    <mergeCell ref="B24:F24"/>
    <mergeCell ref="E10:E12"/>
    <mergeCell ref="F10:F12"/>
    <mergeCell ref="B4:F4"/>
    <mergeCell ref="C18:F18"/>
    <mergeCell ref="C19:F19"/>
    <mergeCell ref="C21:F21"/>
    <mergeCell ref="C10:C12"/>
    <mergeCell ref="D10:D12"/>
    <mergeCell ref="C7:C9"/>
    <mergeCell ref="D7:D9"/>
    <mergeCell ref="E7:E9"/>
    <mergeCell ref="F7:F9"/>
    <mergeCell ref="B6:F6"/>
    <mergeCell ref="B17:F17"/>
    <mergeCell ref="C20:F20"/>
  </mergeCells>
  <pageMargins left="0.25" right="0.25" top="0.75" bottom="0.75" header="0.3" footer="0.3"/>
  <pageSetup paperSize="9" scale="73" orientation="landscape" r:id="rId1"/>
  <headerFooter>
    <oddFooter>&amp;L&amp;D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51CB9-8E23-4FC8-90B7-DF9C1EE8BC15}">
  <sheetPr>
    <tabColor theme="6" tint="0.39997558519241921"/>
  </sheetPr>
  <dimension ref="A1:N317"/>
  <sheetViews>
    <sheetView workbookViewId="0"/>
  </sheetViews>
  <sheetFormatPr defaultColWidth="8.85546875" defaultRowHeight="12.75" x14ac:dyDescent="0.2"/>
  <cols>
    <col min="1" max="5" width="29.7109375" style="21" customWidth="1"/>
    <col min="6" max="6" width="4.85546875" style="21" customWidth="1"/>
    <col min="7" max="7" width="28.5703125" style="21" customWidth="1"/>
    <col min="8" max="8" width="23.28515625" style="21" customWidth="1"/>
    <col min="9" max="9" width="8.85546875" style="21"/>
    <col min="10" max="10" width="14.5703125" style="21" customWidth="1"/>
    <col min="11" max="11" width="11.7109375" style="21" customWidth="1"/>
    <col min="12" max="12" width="8.85546875" style="21"/>
    <col min="13" max="14" width="12.42578125" style="21" bestFit="1" customWidth="1"/>
    <col min="15" max="254" width="8.85546875" style="21"/>
    <col min="255" max="255" width="18.42578125" style="21" customWidth="1"/>
    <col min="256" max="256" width="16" style="21" bestFit="1" customWidth="1"/>
    <col min="257" max="259" width="8.85546875" style="21"/>
    <col min="260" max="260" width="16.28515625" style="21" customWidth="1"/>
    <col min="261" max="261" width="19.85546875" style="21" customWidth="1"/>
    <col min="262" max="262" width="18" style="21" customWidth="1"/>
    <col min="263" max="265" width="8.85546875" style="21"/>
    <col min="266" max="266" width="14.5703125" style="21" customWidth="1"/>
    <col min="267" max="267" width="11.7109375" style="21" customWidth="1"/>
    <col min="268" max="268" width="8.85546875" style="21"/>
    <col min="269" max="270" width="12.42578125" style="21" bestFit="1" customWidth="1"/>
    <col min="271" max="510" width="8.85546875" style="21"/>
    <col min="511" max="511" width="18.42578125" style="21" customWidth="1"/>
    <col min="512" max="512" width="16" style="21" bestFit="1" customWidth="1"/>
    <col min="513" max="515" width="8.85546875" style="21"/>
    <col min="516" max="516" width="16.28515625" style="21" customWidth="1"/>
    <col min="517" max="517" width="19.85546875" style="21" customWidth="1"/>
    <col min="518" max="518" width="18" style="21" customWidth="1"/>
    <col min="519" max="521" width="8.85546875" style="21"/>
    <col min="522" max="522" width="14.5703125" style="21" customWidth="1"/>
    <col min="523" max="523" width="11.7109375" style="21" customWidth="1"/>
    <col min="524" max="524" width="8.85546875" style="21"/>
    <col min="525" max="526" width="12.42578125" style="21" bestFit="1" customWidth="1"/>
    <col min="527" max="766" width="8.85546875" style="21"/>
    <col min="767" max="767" width="18.42578125" style="21" customWidth="1"/>
    <col min="768" max="768" width="16" style="21" bestFit="1" customWidth="1"/>
    <col min="769" max="771" width="8.85546875" style="21"/>
    <col min="772" max="772" width="16.28515625" style="21" customWidth="1"/>
    <col min="773" max="773" width="19.85546875" style="21" customWidth="1"/>
    <col min="774" max="774" width="18" style="21" customWidth="1"/>
    <col min="775" max="777" width="8.85546875" style="21"/>
    <col min="778" max="778" width="14.5703125" style="21" customWidth="1"/>
    <col min="779" max="779" width="11.7109375" style="21" customWidth="1"/>
    <col min="780" max="780" width="8.85546875" style="21"/>
    <col min="781" max="782" width="12.42578125" style="21" bestFit="1" customWidth="1"/>
    <col min="783" max="1022" width="8.85546875" style="21"/>
    <col min="1023" max="1023" width="18.42578125" style="21" customWidth="1"/>
    <col min="1024" max="1024" width="16" style="21" bestFit="1" customWidth="1"/>
    <col min="1025" max="1027" width="8.85546875" style="21"/>
    <col min="1028" max="1028" width="16.28515625" style="21" customWidth="1"/>
    <col min="1029" max="1029" width="19.85546875" style="21" customWidth="1"/>
    <col min="1030" max="1030" width="18" style="21" customWidth="1"/>
    <col min="1031" max="1033" width="8.85546875" style="21"/>
    <col min="1034" max="1034" width="14.5703125" style="21" customWidth="1"/>
    <col min="1035" max="1035" width="11.7109375" style="21" customWidth="1"/>
    <col min="1036" max="1036" width="8.85546875" style="21"/>
    <col min="1037" max="1038" width="12.42578125" style="21" bestFit="1" customWidth="1"/>
    <col min="1039" max="1278" width="8.85546875" style="21"/>
    <col min="1279" max="1279" width="18.42578125" style="21" customWidth="1"/>
    <col min="1280" max="1280" width="16" style="21" bestFit="1" customWidth="1"/>
    <col min="1281" max="1283" width="8.85546875" style="21"/>
    <col min="1284" max="1284" width="16.28515625" style="21" customWidth="1"/>
    <col min="1285" max="1285" width="19.85546875" style="21" customWidth="1"/>
    <col min="1286" max="1286" width="18" style="21" customWidth="1"/>
    <col min="1287" max="1289" width="8.85546875" style="21"/>
    <col min="1290" max="1290" width="14.5703125" style="21" customWidth="1"/>
    <col min="1291" max="1291" width="11.7109375" style="21" customWidth="1"/>
    <col min="1292" max="1292" width="8.85546875" style="21"/>
    <col min="1293" max="1294" width="12.42578125" style="21" bestFit="1" customWidth="1"/>
    <col min="1295" max="1534" width="8.85546875" style="21"/>
    <col min="1535" max="1535" width="18.42578125" style="21" customWidth="1"/>
    <col min="1536" max="1536" width="16" style="21" bestFit="1" customWidth="1"/>
    <col min="1537" max="1539" width="8.85546875" style="21"/>
    <col min="1540" max="1540" width="16.28515625" style="21" customWidth="1"/>
    <col min="1541" max="1541" width="19.85546875" style="21" customWidth="1"/>
    <col min="1542" max="1542" width="18" style="21" customWidth="1"/>
    <col min="1543" max="1545" width="8.85546875" style="21"/>
    <col min="1546" max="1546" width="14.5703125" style="21" customWidth="1"/>
    <col min="1547" max="1547" width="11.7109375" style="21" customWidth="1"/>
    <col min="1548" max="1548" width="8.85546875" style="21"/>
    <col min="1549" max="1550" width="12.42578125" style="21" bestFit="1" customWidth="1"/>
    <col min="1551" max="1790" width="8.85546875" style="21"/>
    <col min="1791" max="1791" width="18.42578125" style="21" customWidth="1"/>
    <col min="1792" max="1792" width="16" style="21" bestFit="1" customWidth="1"/>
    <col min="1793" max="1795" width="8.85546875" style="21"/>
    <col min="1796" max="1796" width="16.28515625" style="21" customWidth="1"/>
    <col min="1797" max="1797" width="19.85546875" style="21" customWidth="1"/>
    <col min="1798" max="1798" width="18" style="21" customWidth="1"/>
    <col min="1799" max="1801" width="8.85546875" style="21"/>
    <col min="1802" max="1802" width="14.5703125" style="21" customWidth="1"/>
    <col min="1803" max="1803" width="11.7109375" style="21" customWidth="1"/>
    <col min="1804" max="1804" width="8.85546875" style="21"/>
    <col min="1805" max="1806" width="12.42578125" style="21" bestFit="1" customWidth="1"/>
    <col min="1807" max="2046" width="8.85546875" style="21"/>
    <col min="2047" max="2047" width="18.42578125" style="21" customWidth="1"/>
    <col min="2048" max="2048" width="16" style="21" bestFit="1" customWidth="1"/>
    <col min="2049" max="2051" width="8.85546875" style="21"/>
    <col min="2052" max="2052" width="16.28515625" style="21" customWidth="1"/>
    <col min="2053" max="2053" width="19.85546875" style="21" customWidth="1"/>
    <col min="2054" max="2054" width="18" style="21" customWidth="1"/>
    <col min="2055" max="2057" width="8.85546875" style="21"/>
    <col min="2058" max="2058" width="14.5703125" style="21" customWidth="1"/>
    <col min="2059" max="2059" width="11.7109375" style="21" customWidth="1"/>
    <col min="2060" max="2060" width="8.85546875" style="21"/>
    <col min="2061" max="2062" width="12.42578125" style="21" bestFit="1" customWidth="1"/>
    <col min="2063" max="2302" width="8.85546875" style="21"/>
    <col min="2303" max="2303" width="18.42578125" style="21" customWidth="1"/>
    <col min="2304" max="2304" width="16" style="21" bestFit="1" customWidth="1"/>
    <col min="2305" max="2307" width="8.85546875" style="21"/>
    <col min="2308" max="2308" width="16.28515625" style="21" customWidth="1"/>
    <col min="2309" max="2309" width="19.85546875" style="21" customWidth="1"/>
    <col min="2310" max="2310" width="18" style="21" customWidth="1"/>
    <col min="2311" max="2313" width="8.85546875" style="21"/>
    <col min="2314" max="2314" width="14.5703125" style="21" customWidth="1"/>
    <col min="2315" max="2315" width="11.7109375" style="21" customWidth="1"/>
    <col min="2316" max="2316" width="8.85546875" style="21"/>
    <col min="2317" max="2318" width="12.42578125" style="21" bestFit="1" customWidth="1"/>
    <col min="2319" max="2558" width="8.85546875" style="21"/>
    <col min="2559" max="2559" width="18.42578125" style="21" customWidth="1"/>
    <col min="2560" max="2560" width="16" style="21" bestFit="1" customWidth="1"/>
    <col min="2561" max="2563" width="8.85546875" style="21"/>
    <col min="2564" max="2564" width="16.28515625" style="21" customWidth="1"/>
    <col min="2565" max="2565" width="19.85546875" style="21" customWidth="1"/>
    <col min="2566" max="2566" width="18" style="21" customWidth="1"/>
    <col min="2567" max="2569" width="8.85546875" style="21"/>
    <col min="2570" max="2570" width="14.5703125" style="21" customWidth="1"/>
    <col min="2571" max="2571" width="11.7109375" style="21" customWidth="1"/>
    <col min="2572" max="2572" width="8.85546875" style="21"/>
    <col min="2573" max="2574" width="12.42578125" style="21" bestFit="1" customWidth="1"/>
    <col min="2575" max="2814" width="8.85546875" style="21"/>
    <col min="2815" max="2815" width="18.42578125" style="21" customWidth="1"/>
    <col min="2816" max="2816" width="16" style="21" bestFit="1" customWidth="1"/>
    <col min="2817" max="2819" width="8.85546875" style="21"/>
    <col min="2820" max="2820" width="16.28515625" style="21" customWidth="1"/>
    <col min="2821" max="2821" width="19.85546875" style="21" customWidth="1"/>
    <col min="2822" max="2822" width="18" style="21" customWidth="1"/>
    <col min="2823" max="2825" width="8.85546875" style="21"/>
    <col min="2826" max="2826" width="14.5703125" style="21" customWidth="1"/>
    <col min="2827" max="2827" width="11.7109375" style="21" customWidth="1"/>
    <col min="2828" max="2828" width="8.85546875" style="21"/>
    <col min="2829" max="2830" width="12.42578125" style="21" bestFit="1" customWidth="1"/>
    <col min="2831" max="3070" width="8.85546875" style="21"/>
    <col min="3071" max="3071" width="18.42578125" style="21" customWidth="1"/>
    <col min="3072" max="3072" width="16" style="21" bestFit="1" customWidth="1"/>
    <col min="3073" max="3075" width="8.85546875" style="21"/>
    <col min="3076" max="3076" width="16.28515625" style="21" customWidth="1"/>
    <col min="3077" max="3077" width="19.85546875" style="21" customWidth="1"/>
    <col min="3078" max="3078" width="18" style="21" customWidth="1"/>
    <col min="3079" max="3081" width="8.85546875" style="21"/>
    <col min="3082" max="3082" width="14.5703125" style="21" customWidth="1"/>
    <col min="3083" max="3083" width="11.7109375" style="21" customWidth="1"/>
    <col min="3084" max="3084" width="8.85546875" style="21"/>
    <col min="3085" max="3086" width="12.42578125" style="21" bestFit="1" customWidth="1"/>
    <col min="3087" max="3326" width="8.85546875" style="21"/>
    <col min="3327" max="3327" width="18.42578125" style="21" customWidth="1"/>
    <col min="3328" max="3328" width="16" style="21" bestFit="1" customWidth="1"/>
    <col min="3329" max="3331" width="8.85546875" style="21"/>
    <col min="3332" max="3332" width="16.28515625" style="21" customWidth="1"/>
    <col min="3333" max="3333" width="19.85546875" style="21" customWidth="1"/>
    <col min="3334" max="3334" width="18" style="21" customWidth="1"/>
    <col min="3335" max="3337" width="8.85546875" style="21"/>
    <col min="3338" max="3338" width="14.5703125" style="21" customWidth="1"/>
    <col min="3339" max="3339" width="11.7109375" style="21" customWidth="1"/>
    <col min="3340" max="3340" width="8.85546875" style="21"/>
    <col min="3341" max="3342" width="12.42578125" style="21" bestFit="1" customWidth="1"/>
    <col min="3343" max="3582" width="8.85546875" style="21"/>
    <col min="3583" max="3583" width="18.42578125" style="21" customWidth="1"/>
    <col min="3584" max="3584" width="16" style="21" bestFit="1" customWidth="1"/>
    <col min="3585" max="3587" width="8.85546875" style="21"/>
    <col min="3588" max="3588" width="16.28515625" style="21" customWidth="1"/>
    <col min="3589" max="3589" width="19.85546875" style="21" customWidth="1"/>
    <col min="3590" max="3590" width="18" style="21" customWidth="1"/>
    <col min="3591" max="3593" width="8.85546875" style="21"/>
    <col min="3594" max="3594" width="14.5703125" style="21" customWidth="1"/>
    <col min="3595" max="3595" width="11.7109375" style="21" customWidth="1"/>
    <col min="3596" max="3596" width="8.85546875" style="21"/>
    <col min="3597" max="3598" width="12.42578125" style="21" bestFit="1" customWidth="1"/>
    <col min="3599" max="3838" width="8.85546875" style="21"/>
    <col min="3839" max="3839" width="18.42578125" style="21" customWidth="1"/>
    <col min="3840" max="3840" width="16" style="21" bestFit="1" customWidth="1"/>
    <col min="3841" max="3843" width="8.85546875" style="21"/>
    <col min="3844" max="3844" width="16.28515625" style="21" customWidth="1"/>
    <col min="3845" max="3845" width="19.85546875" style="21" customWidth="1"/>
    <col min="3846" max="3846" width="18" style="21" customWidth="1"/>
    <col min="3847" max="3849" width="8.85546875" style="21"/>
    <col min="3850" max="3850" width="14.5703125" style="21" customWidth="1"/>
    <col min="3851" max="3851" width="11.7109375" style="21" customWidth="1"/>
    <col min="3852" max="3852" width="8.85546875" style="21"/>
    <col min="3853" max="3854" width="12.42578125" style="21" bestFit="1" customWidth="1"/>
    <col min="3855" max="4094" width="8.85546875" style="21"/>
    <col min="4095" max="4095" width="18.42578125" style="21" customWidth="1"/>
    <col min="4096" max="4096" width="16" style="21" bestFit="1" customWidth="1"/>
    <col min="4097" max="4099" width="8.85546875" style="21"/>
    <col min="4100" max="4100" width="16.28515625" style="21" customWidth="1"/>
    <col min="4101" max="4101" width="19.85546875" style="21" customWidth="1"/>
    <col min="4102" max="4102" width="18" style="21" customWidth="1"/>
    <col min="4103" max="4105" width="8.85546875" style="21"/>
    <col min="4106" max="4106" width="14.5703125" style="21" customWidth="1"/>
    <col min="4107" max="4107" width="11.7109375" style="21" customWidth="1"/>
    <col min="4108" max="4108" width="8.85546875" style="21"/>
    <col min="4109" max="4110" width="12.42578125" style="21" bestFit="1" customWidth="1"/>
    <col min="4111" max="4350" width="8.85546875" style="21"/>
    <col min="4351" max="4351" width="18.42578125" style="21" customWidth="1"/>
    <col min="4352" max="4352" width="16" style="21" bestFit="1" customWidth="1"/>
    <col min="4353" max="4355" width="8.85546875" style="21"/>
    <col min="4356" max="4356" width="16.28515625" style="21" customWidth="1"/>
    <col min="4357" max="4357" width="19.85546875" style="21" customWidth="1"/>
    <col min="4358" max="4358" width="18" style="21" customWidth="1"/>
    <col min="4359" max="4361" width="8.85546875" style="21"/>
    <col min="4362" max="4362" width="14.5703125" style="21" customWidth="1"/>
    <col min="4363" max="4363" width="11.7109375" style="21" customWidth="1"/>
    <col min="4364" max="4364" width="8.85546875" style="21"/>
    <col min="4365" max="4366" width="12.42578125" style="21" bestFit="1" customWidth="1"/>
    <col min="4367" max="4606" width="8.85546875" style="21"/>
    <col min="4607" max="4607" width="18.42578125" style="21" customWidth="1"/>
    <col min="4608" max="4608" width="16" style="21" bestFit="1" customWidth="1"/>
    <col min="4609" max="4611" width="8.85546875" style="21"/>
    <col min="4612" max="4612" width="16.28515625" style="21" customWidth="1"/>
    <col min="4613" max="4613" width="19.85546875" style="21" customWidth="1"/>
    <col min="4614" max="4614" width="18" style="21" customWidth="1"/>
    <col min="4615" max="4617" width="8.85546875" style="21"/>
    <col min="4618" max="4618" width="14.5703125" style="21" customWidth="1"/>
    <col min="4619" max="4619" width="11.7109375" style="21" customWidth="1"/>
    <col min="4620" max="4620" width="8.85546875" style="21"/>
    <col min="4621" max="4622" width="12.42578125" style="21" bestFit="1" customWidth="1"/>
    <col min="4623" max="4862" width="8.85546875" style="21"/>
    <col min="4863" max="4863" width="18.42578125" style="21" customWidth="1"/>
    <col min="4864" max="4864" width="16" style="21" bestFit="1" customWidth="1"/>
    <col min="4865" max="4867" width="8.85546875" style="21"/>
    <col min="4868" max="4868" width="16.28515625" style="21" customWidth="1"/>
    <col min="4869" max="4869" width="19.85546875" style="21" customWidth="1"/>
    <col min="4870" max="4870" width="18" style="21" customWidth="1"/>
    <col min="4871" max="4873" width="8.85546875" style="21"/>
    <col min="4874" max="4874" width="14.5703125" style="21" customWidth="1"/>
    <col min="4875" max="4875" width="11.7109375" style="21" customWidth="1"/>
    <col min="4876" max="4876" width="8.85546875" style="21"/>
    <col min="4877" max="4878" width="12.42578125" style="21" bestFit="1" customWidth="1"/>
    <col min="4879" max="5118" width="8.85546875" style="21"/>
    <col min="5119" max="5119" width="18.42578125" style="21" customWidth="1"/>
    <col min="5120" max="5120" width="16" style="21" bestFit="1" customWidth="1"/>
    <col min="5121" max="5123" width="8.85546875" style="21"/>
    <col min="5124" max="5124" width="16.28515625" style="21" customWidth="1"/>
    <col min="5125" max="5125" width="19.85546875" style="21" customWidth="1"/>
    <col min="5126" max="5126" width="18" style="21" customWidth="1"/>
    <col min="5127" max="5129" width="8.85546875" style="21"/>
    <col min="5130" max="5130" width="14.5703125" style="21" customWidth="1"/>
    <col min="5131" max="5131" width="11.7109375" style="21" customWidth="1"/>
    <col min="5132" max="5132" width="8.85546875" style="21"/>
    <col min="5133" max="5134" width="12.42578125" style="21" bestFit="1" customWidth="1"/>
    <col min="5135" max="5374" width="8.85546875" style="21"/>
    <col min="5375" max="5375" width="18.42578125" style="21" customWidth="1"/>
    <col min="5376" max="5376" width="16" style="21" bestFit="1" customWidth="1"/>
    <col min="5377" max="5379" width="8.85546875" style="21"/>
    <col min="5380" max="5380" width="16.28515625" style="21" customWidth="1"/>
    <col min="5381" max="5381" width="19.85546875" style="21" customWidth="1"/>
    <col min="5382" max="5382" width="18" style="21" customWidth="1"/>
    <col min="5383" max="5385" width="8.85546875" style="21"/>
    <col min="5386" max="5386" width="14.5703125" style="21" customWidth="1"/>
    <col min="5387" max="5387" width="11.7109375" style="21" customWidth="1"/>
    <col min="5388" max="5388" width="8.85546875" style="21"/>
    <col min="5389" max="5390" width="12.42578125" style="21" bestFit="1" customWidth="1"/>
    <col min="5391" max="5630" width="8.85546875" style="21"/>
    <col min="5631" max="5631" width="18.42578125" style="21" customWidth="1"/>
    <col min="5632" max="5632" width="16" style="21" bestFit="1" customWidth="1"/>
    <col min="5633" max="5635" width="8.85546875" style="21"/>
    <col min="5636" max="5636" width="16.28515625" style="21" customWidth="1"/>
    <col min="5637" max="5637" width="19.85546875" style="21" customWidth="1"/>
    <col min="5638" max="5638" width="18" style="21" customWidth="1"/>
    <col min="5639" max="5641" width="8.85546875" style="21"/>
    <col min="5642" max="5642" width="14.5703125" style="21" customWidth="1"/>
    <col min="5643" max="5643" width="11.7109375" style="21" customWidth="1"/>
    <col min="5644" max="5644" width="8.85546875" style="21"/>
    <col min="5645" max="5646" width="12.42578125" style="21" bestFit="1" customWidth="1"/>
    <col min="5647" max="5886" width="8.85546875" style="21"/>
    <col min="5887" max="5887" width="18.42578125" style="21" customWidth="1"/>
    <col min="5888" max="5888" width="16" style="21" bestFit="1" customWidth="1"/>
    <col min="5889" max="5891" width="8.85546875" style="21"/>
    <col min="5892" max="5892" width="16.28515625" style="21" customWidth="1"/>
    <col min="5893" max="5893" width="19.85546875" style="21" customWidth="1"/>
    <col min="5894" max="5894" width="18" style="21" customWidth="1"/>
    <col min="5895" max="5897" width="8.85546875" style="21"/>
    <col min="5898" max="5898" width="14.5703125" style="21" customWidth="1"/>
    <col min="5899" max="5899" width="11.7109375" style="21" customWidth="1"/>
    <col min="5900" max="5900" width="8.85546875" style="21"/>
    <col min="5901" max="5902" width="12.42578125" style="21" bestFit="1" customWidth="1"/>
    <col min="5903" max="6142" width="8.85546875" style="21"/>
    <col min="6143" max="6143" width="18.42578125" style="21" customWidth="1"/>
    <col min="6144" max="6144" width="16" style="21" bestFit="1" customWidth="1"/>
    <col min="6145" max="6147" width="8.85546875" style="21"/>
    <col min="6148" max="6148" width="16.28515625" style="21" customWidth="1"/>
    <col min="6149" max="6149" width="19.85546875" style="21" customWidth="1"/>
    <col min="6150" max="6150" width="18" style="21" customWidth="1"/>
    <col min="6151" max="6153" width="8.85546875" style="21"/>
    <col min="6154" max="6154" width="14.5703125" style="21" customWidth="1"/>
    <col min="6155" max="6155" width="11.7109375" style="21" customWidth="1"/>
    <col min="6156" max="6156" width="8.85546875" style="21"/>
    <col min="6157" max="6158" width="12.42578125" style="21" bestFit="1" customWidth="1"/>
    <col min="6159" max="6398" width="8.85546875" style="21"/>
    <col min="6399" max="6399" width="18.42578125" style="21" customWidth="1"/>
    <col min="6400" max="6400" width="16" style="21" bestFit="1" customWidth="1"/>
    <col min="6401" max="6403" width="8.85546875" style="21"/>
    <col min="6404" max="6404" width="16.28515625" style="21" customWidth="1"/>
    <col min="6405" max="6405" width="19.85546875" style="21" customWidth="1"/>
    <col min="6406" max="6406" width="18" style="21" customWidth="1"/>
    <col min="6407" max="6409" width="8.85546875" style="21"/>
    <col min="6410" max="6410" width="14.5703125" style="21" customWidth="1"/>
    <col min="6411" max="6411" width="11.7109375" style="21" customWidth="1"/>
    <col min="6412" max="6412" width="8.85546875" style="21"/>
    <col min="6413" max="6414" width="12.42578125" style="21" bestFit="1" customWidth="1"/>
    <col min="6415" max="6654" width="8.85546875" style="21"/>
    <col min="6655" max="6655" width="18.42578125" style="21" customWidth="1"/>
    <col min="6656" max="6656" width="16" style="21" bestFit="1" customWidth="1"/>
    <col min="6657" max="6659" width="8.85546875" style="21"/>
    <col min="6660" max="6660" width="16.28515625" style="21" customWidth="1"/>
    <col min="6661" max="6661" width="19.85546875" style="21" customWidth="1"/>
    <col min="6662" max="6662" width="18" style="21" customWidth="1"/>
    <col min="6663" max="6665" width="8.85546875" style="21"/>
    <col min="6666" max="6666" width="14.5703125" style="21" customWidth="1"/>
    <col min="6667" max="6667" width="11.7109375" style="21" customWidth="1"/>
    <col min="6668" max="6668" width="8.85546875" style="21"/>
    <col min="6669" max="6670" width="12.42578125" style="21" bestFit="1" customWidth="1"/>
    <col min="6671" max="6910" width="8.85546875" style="21"/>
    <col min="6911" max="6911" width="18.42578125" style="21" customWidth="1"/>
    <col min="6912" max="6912" width="16" style="21" bestFit="1" customWidth="1"/>
    <col min="6913" max="6915" width="8.85546875" style="21"/>
    <col min="6916" max="6916" width="16.28515625" style="21" customWidth="1"/>
    <col min="6917" max="6917" width="19.85546875" style="21" customWidth="1"/>
    <col min="6918" max="6918" width="18" style="21" customWidth="1"/>
    <col min="6919" max="6921" width="8.85546875" style="21"/>
    <col min="6922" max="6922" width="14.5703125" style="21" customWidth="1"/>
    <col min="6923" max="6923" width="11.7109375" style="21" customWidth="1"/>
    <col min="6924" max="6924" width="8.85546875" style="21"/>
    <col min="6925" max="6926" width="12.42578125" style="21" bestFit="1" customWidth="1"/>
    <col min="6927" max="7166" width="8.85546875" style="21"/>
    <col min="7167" max="7167" width="18.42578125" style="21" customWidth="1"/>
    <col min="7168" max="7168" width="16" style="21" bestFit="1" customWidth="1"/>
    <col min="7169" max="7171" width="8.85546875" style="21"/>
    <col min="7172" max="7172" width="16.28515625" style="21" customWidth="1"/>
    <col min="7173" max="7173" width="19.85546875" style="21" customWidth="1"/>
    <col min="7174" max="7174" width="18" style="21" customWidth="1"/>
    <col min="7175" max="7177" width="8.85546875" style="21"/>
    <col min="7178" max="7178" width="14.5703125" style="21" customWidth="1"/>
    <col min="7179" max="7179" width="11.7109375" style="21" customWidth="1"/>
    <col min="7180" max="7180" width="8.85546875" style="21"/>
    <col min="7181" max="7182" width="12.42578125" style="21" bestFit="1" customWidth="1"/>
    <col min="7183" max="7422" width="8.85546875" style="21"/>
    <col min="7423" max="7423" width="18.42578125" style="21" customWidth="1"/>
    <col min="7424" max="7424" width="16" style="21" bestFit="1" customWidth="1"/>
    <col min="7425" max="7427" width="8.85546875" style="21"/>
    <col min="7428" max="7428" width="16.28515625" style="21" customWidth="1"/>
    <col min="7429" max="7429" width="19.85546875" style="21" customWidth="1"/>
    <col min="7430" max="7430" width="18" style="21" customWidth="1"/>
    <col min="7431" max="7433" width="8.85546875" style="21"/>
    <col min="7434" max="7434" width="14.5703125" style="21" customWidth="1"/>
    <col min="7435" max="7435" width="11.7109375" style="21" customWidth="1"/>
    <col min="7436" max="7436" width="8.85546875" style="21"/>
    <col min="7437" max="7438" width="12.42578125" style="21" bestFit="1" customWidth="1"/>
    <col min="7439" max="7678" width="8.85546875" style="21"/>
    <col min="7679" max="7679" width="18.42578125" style="21" customWidth="1"/>
    <col min="7680" max="7680" width="16" style="21" bestFit="1" customWidth="1"/>
    <col min="7681" max="7683" width="8.85546875" style="21"/>
    <col min="7684" max="7684" width="16.28515625" style="21" customWidth="1"/>
    <col min="7685" max="7685" width="19.85546875" style="21" customWidth="1"/>
    <col min="7686" max="7686" width="18" style="21" customWidth="1"/>
    <col min="7687" max="7689" width="8.85546875" style="21"/>
    <col min="7690" max="7690" width="14.5703125" style="21" customWidth="1"/>
    <col min="7691" max="7691" width="11.7109375" style="21" customWidth="1"/>
    <col min="7692" max="7692" width="8.85546875" style="21"/>
    <col min="7693" max="7694" width="12.42578125" style="21" bestFit="1" customWidth="1"/>
    <col min="7695" max="7934" width="8.85546875" style="21"/>
    <col min="7935" max="7935" width="18.42578125" style="21" customWidth="1"/>
    <col min="7936" max="7936" width="16" style="21" bestFit="1" customWidth="1"/>
    <col min="7937" max="7939" width="8.85546875" style="21"/>
    <col min="7940" max="7940" width="16.28515625" style="21" customWidth="1"/>
    <col min="7941" max="7941" width="19.85546875" style="21" customWidth="1"/>
    <col min="7942" max="7942" width="18" style="21" customWidth="1"/>
    <col min="7943" max="7945" width="8.85546875" style="21"/>
    <col min="7946" max="7946" width="14.5703125" style="21" customWidth="1"/>
    <col min="7947" max="7947" width="11.7109375" style="21" customWidth="1"/>
    <col min="7948" max="7948" width="8.85546875" style="21"/>
    <col min="7949" max="7950" width="12.42578125" style="21" bestFit="1" customWidth="1"/>
    <col min="7951" max="8190" width="8.85546875" style="21"/>
    <col min="8191" max="8191" width="18.42578125" style="21" customWidth="1"/>
    <col min="8192" max="8192" width="16" style="21" bestFit="1" customWidth="1"/>
    <col min="8193" max="8195" width="8.85546875" style="21"/>
    <col min="8196" max="8196" width="16.28515625" style="21" customWidth="1"/>
    <col min="8197" max="8197" width="19.85546875" style="21" customWidth="1"/>
    <col min="8198" max="8198" width="18" style="21" customWidth="1"/>
    <col min="8199" max="8201" width="8.85546875" style="21"/>
    <col min="8202" max="8202" width="14.5703125" style="21" customWidth="1"/>
    <col min="8203" max="8203" width="11.7109375" style="21" customWidth="1"/>
    <col min="8204" max="8204" width="8.85546875" style="21"/>
    <col min="8205" max="8206" width="12.42578125" style="21" bestFit="1" customWidth="1"/>
    <col min="8207" max="8446" width="8.85546875" style="21"/>
    <col min="8447" max="8447" width="18.42578125" style="21" customWidth="1"/>
    <col min="8448" max="8448" width="16" style="21" bestFit="1" customWidth="1"/>
    <col min="8449" max="8451" width="8.85546875" style="21"/>
    <col min="8452" max="8452" width="16.28515625" style="21" customWidth="1"/>
    <col min="8453" max="8453" width="19.85546875" style="21" customWidth="1"/>
    <col min="8454" max="8454" width="18" style="21" customWidth="1"/>
    <col min="8455" max="8457" width="8.85546875" style="21"/>
    <col min="8458" max="8458" width="14.5703125" style="21" customWidth="1"/>
    <col min="8459" max="8459" width="11.7109375" style="21" customWidth="1"/>
    <col min="8460" max="8460" width="8.85546875" style="21"/>
    <col min="8461" max="8462" width="12.42578125" style="21" bestFit="1" customWidth="1"/>
    <col min="8463" max="8702" width="8.85546875" style="21"/>
    <col min="8703" max="8703" width="18.42578125" style="21" customWidth="1"/>
    <col min="8704" max="8704" width="16" style="21" bestFit="1" customWidth="1"/>
    <col min="8705" max="8707" width="8.85546875" style="21"/>
    <col min="8708" max="8708" width="16.28515625" style="21" customWidth="1"/>
    <col min="8709" max="8709" width="19.85546875" style="21" customWidth="1"/>
    <col min="8710" max="8710" width="18" style="21" customWidth="1"/>
    <col min="8711" max="8713" width="8.85546875" style="21"/>
    <col min="8714" max="8714" width="14.5703125" style="21" customWidth="1"/>
    <col min="8715" max="8715" width="11.7109375" style="21" customWidth="1"/>
    <col min="8716" max="8716" width="8.85546875" style="21"/>
    <col min="8717" max="8718" width="12.42578125" style="21" bestFit="1" customWidth="1"/>
    <col min="8719" max="8958" width="8.85546875" style="21"/>
    <col min="8959" max="8959" width="18.42578125" style="21" customWidth="1"/>
    <col min="8960" max="8960" width="16" style="21" bestFit="1" customWidth="1"/>
    <col min="8961" max="8963" width="8.85546875" style="21"/>
    <col min="8964" max="8964" width="16.28515625" style="21" customWidth="1"/>
    <col min="8965" max="8965" width="19.85546875" style="21" customWidth="1"/>
    <col min="8966" max="8966" width="18" style="21" customWidth="1"/>
    <col min="8967" max="8969" width="8.85546875" style="21"/>
    <col min="8970" max="8970" width="14.5703125" style="21" customWidth="1"/>
    <col min="8971" max="8971" width="11.7109375" style="21" customWidth="1"/>
    <col min="8972" max="8972" width="8.85546875" style="21"/>
    <col min="8973" max="8974" width="12.42578125" style="21" bestFit="1" customWidth="1"/>
    <col min="8975" max="9214" width="8.85546875" style="21"/>
    <col min="9215" max="9215" width="18.42578125" style="21" customWidth="1"/>
    <col min="9216" max="9216" width="16" style="21" bestFit="1" customWidth="1"/>
    <col min="9217" max="9219" width="8.85546875" style="21"/>
    <col min="9220" max="9220" width="16.28515625" style="21" customWidth="1"/>
    <col min="9221" max="9221" width="19.85546875" style="21" customWidth="1"/>
    <col min="9222" max="9222" width="18" style="21" customWidth="1"/>
    <col min="9223" max="9225" width="8.85546875" style="21"/>
    <col min="9226" max="9226" width="14.5703125" style="21" customWidth="1"/>
    <col min="9227" max="9227" width="11.7109375" style="21" customWidth="1"/>
    <col min="9228" max="9228" width="8.85546875" style="21"/>
    <col min="9229" max="9230" width="12.42578125" style="21" bestFit="1" customWidth="1"/>
    <col min="9231" max="9470" width="8.85546875" style="21"/>
    <col min="9471" max="9471" width="18.42578125" style="21" customWidth="1"/>
    <col min="9472" max="9472" width="16" style="21" bestFit="1" customWidth="1"/>
    <col min="9473" max="9475" width="8.85546875" style="21"/>
    <col min="9476" max="9476" width="16.28515625" style="21" customWidth="1"/>
    <col min="9477" max="9477" width="19.85546875" style="21" customWidth="1"/>
    <col min="9478" max="9478" width="18" style="21" customWidth="1"/>
    <col min="9479" max="9481" width="8.85546875" style="21"/>
    <col min="9482" max="9482" width="14.5703125" style="21" customWidth="1"/>
    <col min="9483" max="9483" width="11.7109375" style="21" customWidth="1"/>
    <col min="9484" max="9484" width="8.85546875" style="21"/>
    <col min="9485" max="9486" width="12.42578125" style="21" bestFit="1" customWidth="1"/>
    <col min="9487" max="9726" width="8.85546875" style="21"/>
    <col min="9727" max="9727" width="18.42578125" style="21" customWidth="1"/>
    <col min="9728" max="9728" width="16" style="21" bestFit="1" customWidth="1"/>
    <col min="9729" max="9731" width="8.85546875" style="21"/>
    <col min="9732" max="9732" width="16.28515625" style="21" customWidth="1"/>
    <col min="9733" max="9733" width="19.85546875" style="21" customWidth="1"/>
    <col min="9734" max="9734" width="18" style="21" customWidth="1"/>
    <col min="9735" max="9737" width="8.85546875" style="21"/>
    <col min="9738" max="9738" width="14.5703125" style="21" customWidth="1"/>
    <col min="9739" max="9739" width="11.7109375" style="21" customWidth="1"/>
    <col min="9740" max="9740" width="8.85546875" style="21"/>
    <col min="9741" max="9742" width="12.42578125" style="21" bestFit="1" customWidth="1"/>
    <col min="9743" max="9982" width="8.85546875" style="21"/>
    <col min="9983" max="9983" width="18.42578125" style="21" customWidth="1"/>
    <col min="9984" max="9984" width="16" style="21" bestFit="1" customWidth="1"/>
    <col min="9985" max="9987" width="8.85546875" style="21"/>
    <col min="9988" max="9988" width="16.28515625" style="21" customWidth="1"/>
    <col min="9989" max="9989" width="19.85546875" style="21" customWidth="1"/>
    <col min="9990" max="9990" width="18" style="21" customWidth="1"/>
    <col min="9991" max="9993" width="8.85546875" style="21"/>
    <col min="9994" max="9994" width="14.5703125" style="21" customWidth="1"/>
    <col min="9995" max="9995" width="11.7109375" style="21" customWidth="1"/>
    <col min="9996" max="9996" width="8.85546875" style="21"/>
    <col min="9997" max="9998" width="12.42578125" style="21" bestFit="1" customWidth="1"/>
    <col min="9999" max="10238" width="8.85546875" style="21"/>
    <col min="10239" max="10239" width="18.42578125" style="21" customWidth="1"/>
    <col min="10240" max="10240" width="16" style="21" bestFit="1" customWidth="1"/>
    <col min="10241" max="10243" width="8.85546875" style="21"/>
    <col min="10244" max="10244" width="16.28515625" style="21" customWidth="1"/>
    <col min="10245" max="10245" width="19.85546875" style="21" customWidth="1"/>
    <col min="10246" max="10246" width="18" style="21" customWidth="1"/>
    <col min="10247" max="10249" width="8.85546875" style="21"/>
    <col min="10250" max="10250" width="14.5703125" style="21" customWidth="1"/>
    <col min="10251" max="10251" width="11.7109375" style="21" customWidth="1"/>
    <col min="10252" max="10252" width="8.85546875" style="21"/>
    <col min="10253" max="10254" width="12.42578125" style="21" bestFit="1" customWidth="1"/>
    <col min="10255" max="10494" width="8.85546875" style="21"/>
    <col min="10495" max="10495" width="18.42578125" style="21" customWidth="1"/>
    <col min="10496" max="10496" width="16" style="21" bestFit="1" customWidth="1"/>
    <col min="10497" max="10499" width="8.85546875" style="21"/>
    <col min="10500" max="10500" width="16.28515625" style="21" customWidth="1"/>
    <col min="10501" max="10501" width="19.85546875" style="21" customWidth="1"/>
    <col min="10502" max="10502" width="18" style="21" customWidth="1"/>
    <col min="10503" max="10505" width="8.85546875" style="21"/>
    <col min="10506" max="10506" width="14.5703125" style="21" customWidth="1"/>
    <col min="10507" max="10507" width="11.7109375" style="21" customWidth="1"/>
    <col min="10508" max="10508" width="8.85546875" style="21"/>
    <col min="10509" max="10510" width="12.42578125" style="21" bestFit="1" customWidth="1"/>
    <col min="10511" max="10750" width="8.85546875" style="21"/>
    <col min="10751" max="10751" width="18.42578125" style="21" customWidth="1"/>
    <col min="10752" max="10752" width="16" style="21" bestFit="1" customWidth="1"/>
    <col min="10753" max="10755" width="8.85546875" style="21"/>
    <col min="10756" max="10756" width="16.28515625" style="21" customWidth="1"/>
    <col min="10757" max="10757" width="19.85546875" style="21" customWidth="1"/>
    <col min="10758" max="10758" width="18" style="21" customWidth="1"/>
    <col min="10759" max="10761" width="8.85546875" style="21"/>
    <col min="10762" max="10762" width="14.5703125" style="21" customWidth="1"/>
    <col min="10763" max="10763" width="11.7109375" style="21" customWidth="1"/>
    <col min="10764" max="10764" width="8.85546875" style="21"/>
    <col min="10765" max="10766" width="12.42578125" style="21" bestFit="1" customWidth="1"/>
    <col min="10767" max="11006" width="8.85546875" style="21"/>
    <col min="11007" max="11007" width="18.42578125" style="21" customWidth="1"/>
    <col min="11008" max="11008" width="16" style="21" bestFit="1" customWidth="1"/>
    <col min="11009" max="11011" width="8.85546875" style="21"/>
    <col min="11012" max="11012" width="16.28515625" style="21" customWidth="1"/>
    <col min="11013" max="11013" width="19.85546875" style="21" customWidth="1"/>
    <col min="11014" max="11014" width="18" style="21" customWidth="1"/>
    <col min="11015" max="11017" width="8.85546875" style="21"/>
    <col min="11018" max="11018" width="14.5703125" style="21" customWidth="1"/>
    <col min="11019" max="11019" width="11.7109375" style="21" customWidth="1"/>
    <col min="11020" max="11020" width="8.85546875" style="21"/>
    <col min="11021" max="11022" width="12.42578125" style="21" bestFit="1" customWidth="1"/>
    <col min="11023" max="11262" width="8.85546875" style="21"/>
    <col min="11263" max="11263" width="18.42578125" style="21" customWidth="1"/>
    <col min="11264" max="11264" width="16" style="21" bestFit="1" customWidth="1"/>
    <col min="11265" max="11267" width="8.85546875" style="21"/>
    <col min="11268" max="11268" width="16.28515625" style="21" customWidth="1"/>
    <col min="11269" max="11269" width="19.85546875" style="21" customWidth="1"/>
    <col min="11270" max="11270" width="18" style="21" customWidth="1"/>
    <col min="11271" max="11273" width="8.85546875" style="21"/>
    <col min="11274" max="11274" width="14.5703125" style="21" customWidth="1"/>
    <col min="11275" max="11275" width="11.7109375" style="21" customWidth="1"/>
    <col min="11276" max="11276" width="8.85546875" style="21"/>
    <col min="11277" max="11278" width="12.42578125" style="21" bestFit="1" customWidth="1"/>
    <col min="11279" max="11518" width="8.85546875" style="21"/>
    <col min="11519" max="11519" width="18.42578125" style="21" customWidth="1"/>
    <col min="11520" max="11520" width="16" style="21" bestFit="1" customWidth="1"/>
    <col min="11521" max="11523" width="8.85546875" style="21"/>
    <col min="11524" max="11524" width="16.28515625" style="21" customWidth="1"/>
    <col min="11525" max="11525" width="19.85546875" style="21" customWidth="1"/>
    <col min="11526" max="11526" width="18" style="21" customWidth="1"/>
    <col min="11527" max="11529" width="8.85546875" style="21"/>
    <col min="11530" max="11530" width="14.5703125" style="21" customWidth="1"/>
    <col min="11531" max="11531" width="11.7109375" style="21" customWidth="1"/>
    <col min="11532" max="11532" width="8.85546875" style="21"/>
    <col min="11533" max="11534" width="12.42578125" style="21" bestFit="1" customWidth="1"/>
    <col min="11535" max="11774" width="8.85546875" style="21"/>
    <col min="11775" max="11775" width="18.42578125" style="21" customWidth="1"/>
    <col min="11776" max="11776" width="16" style="21" bestFit="1" customWidth="1"/>
    <col min="11777" max="11779" width="8.85546875" style="21"/>
    <col min="11780" max="11780" width="16.28515625" style="21" customWidth="1"/>
    <col min="11781" max="11781" width="19.85546875" style="21" customWidth="1"/>
    <col min="11782" max="11782" width="18" style="21" customWidth="1"/>
    <col min="11783" max="11785" width="8.85546875" style="21"/>
    <col min="11786" max="11786" width="14.5703125" style="21" customWidth="1"/>
    <col min="11787" max="11787" width="11.7109375" style="21" customWidth="1"/>
    <col min="11788" max="11788" width="8.85546875" style="21"/>
    <col min="11789" max="11790" width="12.42578125" style="21" bestFit="1" customWidth="1"/>
    <col min="11791" max="12030" width="8.85546875" style="21"/>
    <col min="12031" max="12031" width="18.42578125" style="21" customWidth="1"/>
    <col min="12032" max="12032" width="16" style="21" bestFit="1" customWidth="1"/>
    <col min="12033" max="12035" width="8.85546875" style="21"/>
    <col min="12036" max="12036" width="16.28515625" style="21" customWidth="1"/>
    <col min="12037" max="12037" width="19.85546875" style="21" customWidth="1"/>
    <col min="12038" max="12038" width="18" style="21" customWidth="1"/>
    <col min="12039" max="12041" width="8.85546875" style="21"/>
    <col min="12042" max="12042" width="14.5703125" style="21" customWidth="1"/>
    <col min="12043" max="12043" width="11.7109375" style="21" customWidth="1"/>
    <col min="12044" max="12044" width="8.85546875" style="21"/>
    <col min="12045" max="12046" width="12.42578125" style="21" bestFit="1" customWidth="1"/>
    <col min="12047" max="12286" width="8.85546875" style="21"/>
    <col min="12287" max="12287" width="18.42578125" style="21" customWidth="1"/>
    <col min="12288" max="12288" width="16" style="21" bestFit="1" customWidth="1"/>
    <col min="12289" max="12291" width="8.85546875" style="21"/>
    <col min="12292" max="12292" width="16.28515625" style="21" customWidth="1"/>
    <col min="12293" max="12293" width="19.85546875" style="21" customWidth="1"/>
    <col min="12294" max="12294" width="18" style="21" customWidth="1"/>
    <col min="12295" max="12297" width="8.85546875" style="21"/>
    <col min="12298" max="12298" width="14.5703125" style="21" customWidth="1"/>
    <col min="12299" max="12299" width="11.7109375" style="21" customWidth="1"/>
    <col min="12300" max="12300" width="8.85546875" style="21"/>
    <col min="12301" max="12302" width="12.42578125" style="21" bestFit="1" customWidth="1"/>
    <col min="12303" max="12542" width="8.85546875" style="21"/>
    <col min="12543" max="12543" width="18.42578125" style="21" customWidth="1"/>
    <col min="12544" max="12544" width="16" style="21" bestFit="1" customWidth="1"/>
    <col min="12545" max="12547" width="8.85546875" style="21"/>
    <col min="12548" max="12548" width="16.28515625" style="21" customWidth="1"/>
    <col min="12549" max="12549" width="19.85546875" style="21" customWidth="1"/>
    <col min="12550" max="12550" width="18" style="21" customWidth="1"/>
    <col min="12551" max="12553" width="8.85546875" style="21"/>
    <col min="12554" max="12554" width="14.5703125" style="21" customWidth="1"/>
    <col min="12555" max="12555" width="11.7109375" style="21" customWidth="1"/>
    <col min="12556" max="12556" width="8.85546875" style="21"/>
    <col min="12557" max="12558" width="12.42578125" style="21" bestFit="1" customWidth="1"/>
    <col min="12559" max="12798" width="8.85546875" style="21"/>
    <col min="12799" max="12799" width="18.42578125" style="21" customWidth="1"/>
    <col min="12800" max="12800" width="16" style="21" bestFit="1" customWidth="1"/>
    <col min="12801" max="12803" width="8.85546875" style="21"/>
    <col min="12804" max="12804" width="16.28515625" style="21" customWidth="1"/>
    <col min="12805" max="12805" width="19.85546875" style="21" customWidth="1"/>
    <col min="12806" max="12806" width="18" style="21" customWidth="1"/>
    <col min="12807" max="12809" width="8.85546875" style="21"/>
    <col min="12810" max="12810" width="14.5703125" style="21" customWidth="1"/>
    <col min="12811" max="12811" width="11.7109375" style="21" customWidth="1"/>
    <col min="12812" max="12812" width="8.85546875" style="21"/>
    <col min="12813" max="12814" width="12.42578125" style="21" bestFit="1" customWidth="1"/>
    <col min="12815" max="13054" width="8.85546875" style="21"/>
    <col min="13055" max="13055" width="18.42578125" style="21" customWidth="1"/>
    <col min="13056" max="13056" width="16" style="21" bestFit="1" customWidth="1"/>
    <col min="13057" max="13059" width="8.85546875" style="21"/>
    <col min="13060" max="13060" width="16.28515625" style="21" customWidth="1"/>
    <col min="13061" max="13061" width="19.85546875" style="21" customWidth="1"/>
    <col min="13062" max="13062" width="18" style="21" customWidth="1"/>
    <col min="13063" max="13065" width="8.85546875" style="21"/>
    <col min="13066" max="13066" width="14.5703125" style="21" customWidth="1"/>
    <col min="13067" max="13067" width="11.7109375" style="21" customWidth="1"/>
    <col min="13068" max="13068" width="8.85546875" style="21"/>
    <col min="13069" max="13070" width="12.42578125" style="21" bestFit="1" customWidth="1"/>
    <col min="13071" max="13310" width="8.85546875" style="21"/>
    <col min="13311" max="13311" width="18.42578125" style="21" customWidth="1"/>
    <col min="13312" max="13312" width="16" style="21" bestFit="1" customWidth="1"/>
    <col min="13313" max="13315" width="8.85546875" style="21"/>
    <col min="13316" max="13316" width="16.28515625" style="21" customWidth="1"/>
    <col min="13317" max="13317" width="19.85546875" style="21" customWidth="1"/>
    <col min="13318" max="13318" width="18" style="21" customWidth="1"/>
    <col min="13319" max="13321" width="8.85546875" style="21"/>
    <col min="13322" max="13322" width="14.5703125" style="21" customWidth="1"/>
    <col min="13323" max="13323" width="11.7109375" style="21" customWidth="1"/>
    <col min="13324" max="13324" width="8.85546875" style="21"/>
    <col min="13325" max="13326" width="12.42578125" style="21" bestFit="1" customWidth="1"/>
    <col min="13327" max="13566" width="8.85546875" style="21"/>
    <col min="13567" max="13567" width="18.42578125" style="21" customWidth="1"/>
    <col min="13568" max="13568" width="16" style="21" bestFit="1" customWidth="1"/>
    <col min="13569" max="13571" width="8.85546875" style="21"/>
    <col min="13572" max="13572" width="16.28515625" style="21" customWidth="1"/>
    <col min="13573" max="13573" width="19.85546875" style="21" customWidth="1"/>
    <col min="13574" max="13574" width="18" style="21" customWidth="1"/>
    <col min="13575" max="13577" width="8.85546875" style="21"/>
    <col min="13578" max="13578" width="14.5703125" style="21" customWidth="1"/>
    <col min="13579" max="13579" width="11.7109375" style="21" customWidth="1"/>
    <col min="13580" max="13580" width="8.85546875" style="21"/>
    <col min="13581" max="13582" width="12.42578125" style="21" bestFit="1" customWidth="1"/>
    <col min="13583" max="13822" width="8.85546875" style="21"/>
    <col min="13823" max="13823" width="18.42578125" style="21" customWidth="1"/>
    <col min="13824" max="13824" width="16" style="21" bestFit="1" customWidth="1"/>
    <col min="13825" max="13827" width="8.85546875" style="21"/>
    <col min="13828" max="13828" width="16.28515625" style="21" customWidth="1"/>
    <col min="13829" max="13829" width="19.85546875" style="21" customWidth="1"/>
    <col min="13830" max="13830" width="18" style="21" customWidth="1"/>
    <col min="13831" max="13833" width="8.85546875" style="21"/>
    <col min="13834" max="13834" width="14.5703125" style="21" customWidth="1"/>
    <col min="13835" max="13835" width="11.7109375" style="21" customWidth="1"/>
    <col min="13836" max="13836" width="8.85546875" style="21"/>
    <col min="13837" max="13838" width="12.42578125" style="21" bestFit="1" customWidth="1"/>
    <col min="13839" max="14078" width="8.85546875" style="21"/>
    <col min="14079" max="14079" width="18.42578125" style="21" customWidth="1"/>
    <col min="14080" max="14080" width="16" style="21" bestFit="1" customWidth="1"/>
    <col min="14081" max="14083" width="8.85546875" style="21"/>
    <col min="14084" max="14084" width="16.28515625" style="21" customWidth="1"/>
    <col min="14085" max="14085" width="19.85546875" style="21" customWidth="1"/>
    <col min="14086" max="14086" width="18" style="21" customWidth="1"/>
    <col min="14087" max="14089" width="8.85546875" style="21"/>
    <col min="14090" max="14090" width="14.5703125" style="21" customWidth="1"/>
    <col min="14091" max="14091" width="11.7109375" style="21" customWidth="1"/>
    <col min="14092" max="14092" width="8.85546875" style="21"/>
    <col min="14093" max="14094" width="12.42578125" style="21" bestFit="1" customWidth="1"/>
    <col min="14095" max="14334" width="8.85546875" style="21"/>
    <col min="14335" max="14335" width="18.42578125" style="21" customWidth="1"/>
    <col min="14336" max="14336" width="16" style="21" bestFit="1" customWidth="1"/>
    <col min="14337" max="14339" width="8.85546875" style="21"/>
    <col min="14340" max="14340" width="16.28515625" style="21" customWidth="1"/>
    <col min="14341" max="14341" width="19.85546875" style="21" customWidth="1"/>
    <col min="14342" max="14342" width="18" style="21" customWidth="1"/>
    <col min="14343" max="14345" width="8.85546875" style="21"/>
    <col min="14346" max="14346" width="14.5703125" style="21" customWidth="1"/>
    <col min="14347" max="14347" width="11.7109375" style="21" customWidth="1"/>
    <col min="14348" max="14348" width="8.85546875" style="21"/>
    <col min="14349" max="14350" width="12.42578125" style="21" bestFit="1" customWidth="1"/>
    <col min="14351" max="14590" width="8.85546875" style="21"/>
    <col min="14591" max="14591" width="18.42578125" style="21" customWidth="1"/>
    <col min="14592" max="14592" width="16" style="21" bestFit="1" customWidth="1"/>
    <col min="14593" max="14595" width="8.85546875" style="21"/>
    <col min="14596" max="14596" width="16.28515625" style="21" customWidth="1"/>
    <col min="14597" max="14597" width="19.85546875" style="21" customWidth="1"/>
    <col min="14598" max="14598" width="18" style="21" customWidth="1"/>
    <col min="14599" max="14601" width="8.85546875" style="21"/>
    <col min="14602" max="14602" width="14.5703125" style="21" customWidth="1"/>
    <col min="14603" max="14603" width="11.7109375" style="21" customWidth="1"/>
    <col min="14604" max="14604" width="8.85546875" style="21"/>
    <col min="14605" max="14606" width="12.42578125" style="21" bestFit="1" customWidth="1"/>
    <col min="14607" max="14846" width="8.85546875" style="21"/>
    <col min="14847" max="14847" width="18.42578125" style="21" customWidth="1"/>
    <col min="14848" max="14848" width="16" style="21" bestFit="1" customWidth="1"/>
    <col min="14849" max="14851" width="8.85546875" style="21"/>
    <col min="14852" max="14852" width="16.28515625" style="21" customWidth="1"/>
    <col min="14853" max="14853" width="19.85546875" style="21" customWidth="1"/>
    <col min="14854" max="14854" width="18" style="21" customWidth="1"/>
    <col min="14855" max="14857" width="8.85546875" style="21"/>
    <col min="14858" max="14858" width="14.5703125" style="21" customWidth="1"/>
    <col min="14859" max="14859" width="11.7109375" style="21" customWidth="1"/>
    <col min="14860" max="14860" width="8.85546875" style="21"/>
    <col min="14861" max="14862" width="12.42578125" style="21" bestFit="1" customWidth="1"/>
    <col min="14863" max="15102" width="8.85546875" style="21"/>
    <col min="15103" max="15103" width="18.42578125" style="21" customWidth="1"/>
    <col min="15104" max="15104" width="16" style="21" bestFit="1" customWidth="1"/>
    <col min="15105" max="15107" width="8.85546875" style="21"/>
    <col min="15108" max="15108" width="16.28515625" style="21" customWidth="1"/>
    <col min="15109" max="15109" width="19.85546875" style="21" customWidth="1"/>
    <col min="15110" max="15110" width="18" style="21" customWidth="1"/>
    <col min="15111" max="15113" width="8.85546875" style="21"/>
    <col min="15114" max="15114" width="14.5703125" style="21" customWidth="1"/>
    <col min="15115" max="15115" width="11.7109375" style="21" customWidth="1"/>
    <col min="15116" max="15116" width="8.85546875" style="21"/>
    <col min="15117" max="15118" width="12.42578125" style="21" bestFit="1" customWidth="1"/>
    <col min="15119" max="15358" width="8.85546875" style="21"/>
    <col min="15359" max="15359" width="18.42578125" style="21" customWidth="1"/>
    <col min="15360" max="15360" width="16" style="21" bestFit="1" customWidth="1"/>
    <col min="15361" max="15363" width="8.85546875" style="21"/>
    <col min="15364" max="15364" width="16.28515625" style="21" customWidth="1"/>
    <col min="15365" max="15365" width="19.85546875" style="21" customWidth="1"/>
    <col min="15366" max="15366" width="18" style="21" customWidth="1"/>
    <col min="15367" max="15369" width="8.85546875" style="21"/>
    <col min="15370" max="15370" width="14.5703125" style="21" customWidth="1"/>
    <col min="15371" max="15371" width="11.7109375" style="21" customWidth="1"/>
    <col min="15372" max="15372" width="8.85546875" style="21"/>
    <col min="15373" max="15374" width="12.42578125" style="21" bestFit="1" customWidth="1"/>
    <col min="15375" max="15614" width="8.85546875" style="21"/>
    <col min="15615" max="15615" width="18.42578125" style="21" customWidth="1"/>
    <col min="15616" max="15616" width="16" style="21" bestFit="1" customWidth="1"/>
    <col min="15617" max="15619" width="8.85546875" style="21"/>
    <col min="15620" max="15620" width="16.28515625" style="21" customWidth="1"/>
    <col min="15621" max="15621" width="19.85546875" style="21" customWidth="1"/>
    <col min="15622" max="15622" width="18" style="21" customWidth="1"/>
    <col min="15623" max="15625" width="8.85546875" style="21"/>
    <col min="15626" max="15626" width="14.5703125" style="21" customWidth="1"/>
    <col min="15627" max="15627" width="11.7109375" style="21" customWidth="1"/>
    <col min="15628" max="15628" width="8.85546875" style="21"/>
    <col min="15629" max="15630" width="12.42578125" style="21" bestFit="1" customWidth="1"/>
    <col min="15631" max="15870" width="8.85546875" style="21"/>
    <col min="15871" max="15871" width="18.42578125" style="21" customWidth="1"/>
    <col min="15872" max="15872" width="16" style="21" bestFit="1" customWidth="1"/>
    <col min="15873" max="15875" width="8.85546875" style="21"/>
    <col min="15876" max="15876" width="16.28515625" style="21" customWidth="1"/>
    <col min="15877" max="15877" width="19.85546875" style="21" customWidth="1"/>
    <col min="15878" max="15878" width="18" style="21" customWidth="1"/>
    <col min="15879" max="15881" width="8.85546875" style="21"/>
    <col min="15882" max="15882" width="14.5703125" style="21" customWidth="1"/>
    <col min="15883" max="15883" width="11.7109375" style="21" customWidth="1"/>
    <col min="15884" max="15884" width="8.85546875" style="21"/>
    <col min="15885" max="15886" width="12.42578125" style="21" bestFit="1" customWidth="1"/>
    <col min="15887" max="16126" width="8.85546875" style="21"/>
    <col min="16127" max="16127" width="18.42578125" style="21" customWidth="1"/>
    <col min="16128" max="16128" width="16" style="21" bestFit="1" customWidth="1"/>
    <col min="16129" max="16131" width="8.85546875" style="21"/>
    <col min="16132" max="16132" width="16.28515625" style="21" customWidth="1"/>
    <col min="16133" max="16133" width="19.85546875" style="21" customWidth="1"/>
    <col min="16134" max="16134" width="18" style="21" customWidth="1"/>
    <col min="16135" max="16137" width="8.85546875" style="21"/>
    <col min="16138" max="16138" width="14.5703125" style="21" customWidth="1"/>
    <col min="16139" max="16139" width="11.7109375" style="21" customWidth="1"/>
    <col min="16140" max="16140" width="8.85546875" style="21"/>
    <col min="16141" max="16142" width="12.42578125" style="21" bestFit="1" customWidth="1"/>
    <col min="16143" max="16384" width="8.85546875" style="21"/>
  </cols>
  <sheetData>
    <row r="1" spans="1:9" s="14" customFormat="1" ht="20.25" x14ac:dyDescent="0.3">
      <c r="A1" s="13" t="s">
        <v>162</v>
      </c>
    </row>
    <row r="2" spans="1:9" s="15" customFormat="1" ht="13.5" customHeight="1" x14ac:dyDescent="0.2">
      <c r="A2" s="15" t="s">
        <v>146</v>
      </c>
    </row>
    <row r="3" spans="1:9" s="15" customFormat="1" ht="13.5" customHeight="1" x14ac:dyDescent="0.2">
      <c r="A3" s="16"/>
    </row>
    <row r="4" spans="1:9" x14ac:dyDescent="0.2">
      <c r="A4" s="60" t="s">
        <v>109</v>
      </c>
      <c r="B4" s="76">
        <f>Berekening!E40</f>
        <v>27030</v>
      </c>
      <c r="D4" s="60" t="s">
        <v>163</v>
      </c>
      <c r="E4" s="75"/>
      <c r="G4" s="22"/>
      <c r="H4" s="22"/>
    </row>
    <row r="5" spans="1:9" x14ac:dyDescent="0.2">
      <c r="A5" s="60" t="s">
        <v>164</v>
      </c>
      <c r="B5" s="59">
        <f>B6*12</f>
        <v>300</v>
      </c>
      <c r="D5" s="61" t="s">
        <v>165</v>
      </c>
      <c r="E5" s="74">
        <f>MAX(B4*1.5%,E14)+(E13*Quotiteiten!C4)</f>
        <v>606</v>
      </c>
      <c r="G5" s="22"/>
      <c r="H5" s="22"/>
    </row>
    <row r="6" spans="1:9" x14ac:dyDescent="0.2">
      <c r="A6" s="60" t="s">
        <v>166</v>
      </c>
      <c r="B6" s="161">
        <v>25</v>
      </c>
      <c r="D6" s="133" t="s">
        <v>167</v>
      </c>
      <c r="E6" s="134">
        <f>E5/Quotiteiten!D4</f>
        <v>0.63124999999999998</v>
      </c>
      <c r="G6" s="22"/>
      <c r="H6" s="22"/>
    </row>
    <row r="7" spans="1:9" x14ac:dyDescent="0.2">
      <c r="A7" s="60" t="s">
        <v>168</v>
      </c>
      <c r="B7" s="77">
        <f>((1+B8)^(1/12))-1</f>
        <v>1.2414877164492744E-3</v>
      </c>
      <c r="G7" s="22"/>
      <c r="H7" s="22"/>
    </row>
    <row r="8" spans="1:9" x14ac:dyDescent="0.2">
      <c r="A8" s="60" t="s">
        <v>169</v>
      </c>
      <c r="B8" s="163">
        <v>1.4999999999999999E-2</v>
      </c>
      <c r="D8" s="61" t="s">
        <v>170</v>
      </c>
      <c r="E8" s="165">
        <f>MAX(B4*3.5%,E14)+(E13*Quotiteiten!C4)</f>
        <v>1006.0500000000001</v>
      </c>
      <c r="G8" s="22"/>
      <c r="H8" s="22"/>
    </row>
    <row r="9" spans="1:9" x14ac:dyDescent="0.2">
      <c r="A9" s="60" t="s">
        <v>171</v>
      </c>
      <c r="B9" s="76">
        <f>(B4*((1+B8)^(1/12)-1)*((1+B8)^(1/12))^B5)/(((1+B8)^(1/12))^B5-1)</f>
        <v>107.97311028779086</v>
      </c>
      <c r="D9" s="133" t="s">
        <v>172</v>
      </c>
      <c r="E9" s="136">
        <f>E8/Quotiteiten!D4</f>
        <v>1.0479687500000001</v>
      </c>
      <c r="F9" s="84"/>
      <c r="G9" s="22"/>
      <c r="H9" s="22"/>
    </row>
    <row r="10" spans="1:9" x14ac:dyDescent="0.2">
      <c r="A10" s="60" t="s">
        <v>173</v>
      </c>
      <c r="B10" s="76">
        <f>(B9*B5)-B4</f>
        <v>5361.9330863372597</v>
      </c>
      <c r="D10" s="84"/>
      <c r="E10" s="84"/>
      <c r="F10" s="84"/>
    </row>
    <row r="11" spans="1:9" x14ac:dyDescent="0.2">
      <c r="A11" s="118"/>
      <c r="B11" s="117"/>
      <c r="D11" s="133" t="s">
        <v>174</v>
      </c>
      <c r="E11" s="165">
        <f>MAX(B4*2.5%,E14)+(E13*Quotiteiten!C7)</f>
        <v>675.75</v>
      </c>
      <c r="F11" s="84"/>
    </row>
    <row r="12" spans="1:9" x14ac:dyDescent="0.2">
      <c r="A12" s="60" t="s">
        <v>175</v>
      </c>
      <c r="B12" s="76">
        <f>B9*B5</f>
        <v>32391.93308633726</v>
      </c>
      <c r="F12" s="84"/>
    </row>
    <row r="13" spans="1:9" x14ac:dyDescent="0.2">
      <c r="A13" s="61" t="s">
        <v>176</v>
      </c>
      <c r="B13" s="74">
        <f>B4</f>
        <v>27030</v>
      </c>
      <c r="D13" s="21" t="s">
        <v>177</v>
      </c>
      <c r="E13" s="159">
        <v>6</v>
      </c>
      <c r="F13" s="84"/>
    </row>
    <row r="14" spans="1:9" x14ac:dyDescent="0.2">
      <c r="A14" s="61" t="s">
        <v>178</v>
      </c>
      <c r="B14" s="74">
        <f>B12-B13</f>
        <v>5361.9330863372597</v>
      </c>
      <c r="D14" s="21" t="s">
        <v>179</v>
      </c>
      <c r="E14" s="159">
        <v>546</v>
      </c>
      <c r="F14" s="84"/>
    </row>
    <row r="15" spans="1:9" x14ac:dyDescent="0.2">
      <c r="B15" s="33"/>
      <c r="C15" s="34"/>
    </row>
    <row r="16" spans="1:9" ht="30" customHeight="1" x14ac:dyDescent="0.2">
      <c r="A16" s="18" t="s">
        <v>180</v>
      </c>
      <c r="B16" s="18" t="s">
        <v>181</v>
      </c>
      <c r="C16" s="18" t="s">
        <v>182</v>
      </c>
      <c r="D16" s="18" t="s">
        <v>178</v>
      </c>
      <c r="E16" s="18" t="s">
        <v>183</v>
      </c>
      <c r="I16" s="24"/>
    </row>
    <row r="17" spans="1:5" s="22" customFormat="1" x14ac:dyDescent="0.2">
      <c r="A17" s="22">
        <v>0</v>
      </c>
      <c r="B17" s="23"/>
      <c r="C17" s="23"/>
      <c r="D17" s="23"/>
      <c r="E17" s="32">
        <f>B4</f>
        <v>27030</v>
      </c>
    </row>
    <row r="18" spans="1:5" s="22" customFormat="1" x14ac:dyDescent="0.2">
      <c r="A18" s="22">
        <v>1</v>
      </c>
      <c r="B18" s="23">
        <f>B$9</f>
        <v>107.97311028779086</v>
      </c>
      <c r="C18" s="23">
        <f>B18-D18</f>
        <v>74.415697312166969</v>
      </c>
      <c r="D18" s="23">
        <f t="shared" ref="D18:D81" si="0">E17*B$7</f>
        <v>33.557412975623883</v>
      </c>
      <c r="E18" s="31">
        <f>E17-C18</f>
        <v>26955.584302687832</v>
      </c>
    </row>
    <row r="19" spans="1:5" s="22" customFormat="1" x14ac:dyDescent="0.2">
      <c r="A19" s="22">
        <v>2</v>
      </c>
      <c r="B19" s="23">
        <f t="shared" ref="B19:B82" si="1">B$9</f>
        <v>107.97311028779086</v>
      </c>
      <c r="C19" s="23">
        <f t="shared" ref="C19:C82" si="2">B19-D19</f>
        <v>74.508083486291042</v>
      </c>
      <c r="D19" s="23">
        <f t="shared" si="0"/>
        <v>33.465026801499825</v>
      </c>
      <c r="E19" s="31">
        <f t="shared" ref="E19:E82" si="3">E18-C19</f>
        <v>26881.076219201543</v>
      </c>
    </row>
    <row r="20" spans="1:5" s="22" customFormat="1" x14ac:dyDescent="0.2">
      <c r="A20" s="22">
        <v>3</v>
      </c>
      <c r="B20" s="23">
        <f t="shared" si="1"/>
        <v>107.97311028779086</v>
      </c>
      <c r="C20" s="23">
        <f t="shared" si="2"/>
        <v>74.600584356715444</v>
      </c>
      <c r="D20" s="23">
        <f t="shared" si="0"/>
        <v>33.372525931075415</v>
      </c>
      <c r="E20" s="31">
        <f t="shared" si="3"/>
        <v>26806.475634844828</v>
      </c>
    </row>
    <row r="21" spans="1:5" s="22" customFormat="1" x14ac:dyDescent="0.2">
      <c r="A21" s="22">
        <v>4</v>
      </c>
      <c r="B21" s="23">
        <f t="shared" si="1"/>
        <v>107.97311028779086</v>
      </c>
      <c r="C21" s="23">
        <f t="shared" si="2"/>
        <v>74.693200065834247</v>
      </c>
      <c r="D21" s="23">
        <f t="shared" si="0"/>
        <v>33.279910221956619</v>
      </c>
      <c r="E21" s="31">
        <f t="shared" si="3"/>
        <v>26731.782434778994</v>
      </c>
    </row>
    <row r="22" spans="1:5" s="22" customFormat="1" x14ac:dyDescent="0.2">
      <c r="A22" s="22">
        <v>5</v>
      </c>
      <c r="B22" s="23">
        <f t="shared" si="1"/>
        <v>107.97311028779086</v>
      </c>
      <c r="C22" s="23">
        <f t="shared" si="2"/>
        <v>74.785930756218264</v>
      </c>
      <c r="D22" s="23">
        <f t="shared" si="0"/>
        <v>33.187179531572596</v>
      </c>
      <c r="E22" s="31">
        <f t="shared" si="3"/>
        <v>26656.996504022776</v>
      </c>
    </row>
    <row r="23" spans="1:5" s="22" customFormat="1" x14ac:dyDescent="0.2">
      <c r="A23" s="22">
        <v>6</v>
      </c>
      <c r="B23" s="23">
        <f t="shared" si="1"/>
        <v>107.97311028779086</v>
      </c>
      <c r="C23" s="23">
        <f t="shared" si="2"/>
        <v>74.878776570615344</v>
      </c>
      <c r="D23" s="23">
        <f t="shared" si="0"/>
        <v>33.094333717175523</v>
      </c>
      <c r="E23" s="31">
        <f t="shared" si="3"/>
        <v>26582.117727452161</v>
      </c>
    </row>
    <row r="24" spans="1:5" s="22" customFormat="1" x14ac:dyDescent="0.2">
      <c r="A24" s="22">
        <v>7</v>
      </c>
      <c r="B24" s="23">
        <f t="shared" si="1"/>
        <v>107.97311028779086</v>
      </c>
      <c r="C24" s="23">
        <f t="shared" si="2"/>
        <v>74.971737651950491</v>
      </c>
      <c r="D24" s="23">
        <f t="shared" si="0"/>
        <v>33.001372635840362</v>
      </c>
      <c r="E24" s="31">
        <f t="shared" si="3"/>
        <v>26507.14598980021</v>
      </c>
    </row>
    <row r="25" spans="1:5" s="22" customFormat="1" x14ac:dyDescent="0.2">
      <c r="A25" s="22">
        <v>8</v>
      </c>
      <c r="B25" s="23">
        <f t="shared" si="1"/>
        <v>107.97311028779086</v>
      </c>
      <c r="C25" s="23">
        <f t="shared" si="2"/>
        <v>75.064814143326259</v>
      </c>
      <c r="D25" s="23">
        <f t="shared" si="0"/>
        <v>32.9082961444646</v>
      </c>
      <c r="E25" s="31">
        <f t="shared" si="3"/>
        <v>26432.081175656884</v>
      </c>
    </row>
    <row r="26" spans="1:5" s="22" customFormat="1" x14ac:dyDescent="0.2">
      <c r="A26" s="22">
        <v>9</v>
      </c>
      <c r="B26" s="23">
        <f t="shared" si="1"/>
        <v>107.97311028779086</v>
      </c>
      <c r="C26" s="23">
        <f t="shared" si="2"/>
        <v>75.158006188022739</v>
      </c>
      <c r="D26" s="23">
        <f t="shared" si="0"/>
        <v>32.815104099768114</v>
      </c>
      <c r="E26" s="31">
        <f t="shared" si="3"/>
        <v>26356.923169468861</v>
      </c>
    </row>
    <row r="27" spans="1:5" s="22" customFormat="1" x14ac:dyDescent="0.2">
      <c r="A27" s="22">
        <v>10</v>
      </c>
      <c r="B27" s="23">
        <f t="shared" si="1"/>
        <v>107.97311028779086</v>
      </c>
      <c r="C27" s="23">
        <f t="shared" si="2"/>
        <v>75.251313929497996</v>
      </c>
      <c r="D27" s="23">
        <f t="shared" si="0"/>
        <v>32.721796358292863</v>
      </c>
      <c r="E27" s="31">
        <f t="shared" si="3"/>
        <v>26281.671855539364</v>
      </c>
    </row>
    <row r="28" spans="1:5" s="22" customFormat="1" x14ac:dyDescent="0.2">
      <c r="A28" s="22">
        <v>11</v>
      </c>
      <c r="B28" s="23">
        <f t="shared" si="1"/>
        <v>107.97311028779086</v>
      </c>
      <c r="C28" s="23">
        <f t="shared" si="2"/>
        <v>75.344737511388132</v>
      </c>
      <c r="D28" s="23">
        <f t="shared" si="0"/>
        <v>32.628372776402728</v>
      </c>
      <c r="E28" s="31">
        <f t="shared" si="3"/>
        <v>26206.327118027977</v>
      </c>
    </row>
    <row r="29" spans="1:5" s="22" customFormat="1" x14ac:dyDescent="0.2">
      <c r="A29" s="22">
        <v>12</v>
      </c>
      <c r="B29" s="23">
        <f t="shared" si="1"/>
        <v>107.97311028779086</v>
      </c>
      <c r="C29" s="23">
        <f t="shared" si="2"/>
        <v>75.438277077507621</v>
      </c>
      <c r="D29" s="23">
        <f t="shared" si="0"/>
        <v>32.534833210283246</v>
      </c>
      <c r="E29" s="31">
        <f t="shared" si="3"/>
        <v>26130.888840950469</v>
      </c>
    </row>
    <row r="30" spans="1:5" s="22" customFormat="1" x14ac:dyDescent="0.2">
      <c r="A30" s="22">
        <v>13</v>
      </c>
      <c r="B30" s="23">
        <f t="shared" si="1"/>
        <v>107.97311028779086</v>
      </c>
      <c r="C30" s="23">
        <f t="shared" si="2"/>
        <v>75.531932771849426</v>
      </c>
      <c r="D30" s="23">
        <f t="shared" si="0"/>
        <v>32.441177515941426</v>
      </c>
      <c r="E30" s="31">
        <f t="shared" si="3"/>
        <v>26055.356908178619</v>
      </c>
    </row>
    <row r="31" spans="1:5" s="22" customFormat="1" x14ac:dyDescent="0.2">
      <c r="A31" s="22">
        <v>14</v>
      </c>
      <c r="B31" s="23">
        <f t="shared" si="1"/>
        <v>107.97311028779086</v>
      </c>
      <c r="C31" s="23">
        <f t="shared" si="2"/>
        <v>75.62570473858537</v>
      </c>
      <c r="D31" s="23">
        <f t="shared" si="0"/>
        <v>32.347405549205497</v>
      </c>
      <c r="E31" s="31">
        <f t="shared" si="3"/>
        <v>25979.731203440035</v>
      </c>
    </row>
    <row r="32" spans="1:5" s="22" customFormat="1" x14ac:dyDescent="0.2">
      <c r="A32" s="22">
        <v>15</v>
      </c>
      <c r="B32" s="23">
        <f t="shared" si="1"/>
        <v>107.97311028779086</v>
      </c>
      <c r="C32" s="23">
        <f t="shared" si="2"/>
        <v>75.719593122066129</v>
      </c>
      <c r="D32" s="23">
        <f t="shared" si="0"/>
        <v>32.25351716572473</v>
      </c>
      <c r="E32" s="31">
        <f t="shared" si="3"/>
        <v>25904.011610317968</v>
      </c>
    </row>
    <row r="33" spans="1:14" s="22" customFormat="1" x14ac:dyDescent="0.2">
      <c r="A33" s="22">
        <v>16</v>
      </c>
      <c r="B33" s="23">
        <f t="shared" si="1"/>
        <v>107.97311028779086</v>
      </c>
      <c r="C33" s="23">
        <f t="shared" si="2"/>
        <v>75.813598066821726</v>
      </c>
      <c r="D33" s="23">
        <f t="shared" si="0"/>
        <v>32.159512220969141</v>
      </c>
      <c r="E33" s="31">
        <f t="shared" si="3"/>
        <v>25828.198012251145</v>
      </c>
    </row>
    <row r="34" spans="1:14" s="22" customFormat="1" x14ac:dyDescent="0.2">
      <c r="A34" s="22">
        <v>17</v>
      </c>
      <c r="B34" s="23">
        <f t="shared" si="1"/>
        <v>107.97311028779086</v>
      </c>
      <c r="C34" s="23">
        <f t="shared" si="2"/>
        <v>75.907719717561491</v>
      </c>
      <c r="D34" s="23">
        <f t="shared" si="0"/>
        <v>32.065390570229361</v>
      </c>
      <c r="E34" s="31">
        <f t="shared" si="3"/>
        <v>25752.290292533584</v>
      </c>
    </row>
    <row r="35" spans="1:14" s="22" customFormat="1" x14ac:dyDescent="0.2">
      <c r="A35" s="22">
        <v>18</v>
      </c>
      <c r="B35" s="23">
        <f t="shared" si="1"/>
        <v>107.97311028779086</v>
      </c>
      <c r="C35" s="23">
        <f t="shared" si="2"/>
        <v>76.001958219174526</v>
      </c>
      <c r="D35" s="23">
        <f t="shared" si="0"/>
        <v>31.971152068616334</v>
      </c>
      <c r="E35" s="31">
        <f t="shared" si="3"/>
        <v>25676.288334314409</v>
      </c>
    </row>
    <row r="36" spans="1:14" s="22" customFormat="1" x14ac:dyDescent="0.2">
      <c r="A36" s="22">
        <v>19</v>
      </c>
      <c r="B36" s="23">
        <f t="shared" si="1"/>
        <v>107.97311028779086</v>
      </c>
      <c r="C36" s="23">
        <f t="shared" si="2"/>
        <v>76.096313716729725</v>
      </c>
      <c r="D36" s="23">
        <f t="shared" si="0"/>
        <v>31.876796571061139</v>
      </c>
      <c r="E36" s="31">
        <f t="shared" si="3"/>
        <v>25600.192020597678</v>
      </c>
    </row>
    <row r="37" spans="1:14" s="22" customFormat="1" x14ac:dyDescent="0.2">
      <c r="A37" s="22">
        <v>20</v>
      </c>
      <c r="B37" s="23">
        <f t="shared" si="1"/>
        <v>107.97311028779086</v>
      </c>
      <c r="C37" s="23">
        <f t="shared" si="2"/>
        <v>76.190786355476121</v>
      </c>
      <c r="D37" s="23">
        <f t="shared" si="0"/>
        <v>31.782323932314746</v>
      </c>
      <c r="E37" s="31">
        <f t="shared" si="3"/>
        <v>25524.001234242201</v>
      </c>
    </row>
    <row r="38" spans="1:14" s="22" customFormat="1" x14ac:dyDescent="0.2">
      <c r="A38" s="22">
        <v>21</v>
      </c>
      <c r="B38" s="23">
        <f t="shared" si="1"/>
        <v>107.97311028779086</v>
      </c>
      <c r="C38" s="23">
        <f t="shared" si="2"/>
        <v>76.285376280843053</v>
      </c>
      <c r="D38" s="23">
        <f t="shared" si="0"/>
        <v>31.68773400694781</v>
      </c>
      <c r="E38" s="31">
        <f t="shared" si="3"/>
        <v>25447.715857961357</v>
      </c>
    </row>
    <row r="39" spans="1:14" s="22" customFormat="1" x14ac:dyDescent="0.2">
      <c r="A39" s="22">
        <v>22</v>
      </c>
      <c r="B39" s="23">
        <f t="shared" si="1"/>
        <v>107.97311028779086</v>
      </c>
      <c r="C39" s="23">
        <f t="shared" si="2"/>
        <v>76.380083638440425</v>
      </c>
      <c r="D39" s="23">
        <f t="shared" si="0"/>
        <v>31.593026649350431</v>
      </c>
      <c r="E39" s="31">
        <f t="shared" si="3"/>
        <v>25371.335774322917</v>
      </c>
    </row>
    <row r="40" spans="1:14" s="22" customFormat="1" x14ac:dyDescent="0.2">
      <c r="A40" s="22">
        <v>23</v>
      </c>
      <c r="B40" s="23">
        <f t="shared" si="1"/>
        <v>107.97311028779086</v>
      </c>
      <c r="C40" s="23">
        <f t="shared" si="2"/>
        <v>76.474908574058915</v>
      </c>
      <c r="D40" s="23">
        <f t="shared" si="0"/>
        <v>31.498201713731941</v>
      </c>
      <c r="E40" s="31">
        <f t="shared" si="3"/>
        <v>25294.860865748858</v>
      </c>
    </row>
    <row r="41" spans="1:14" s="22" customFormat="1" x14ac:dyDescent="0.2">
      <c r="A41" s="22">
        <v>24</v>
      </c>
      <c r="B41" s="23">
        <f t="shared" si="1"/>
        <v>107.97311028779086</v>
      </c>
      <c r="C41" s="23">
        <f t="shared" si="2"/>
        <v>76.569851233670192</v>
      </c>
      <c r="D41" s="23">
        <f t="shared" si="0"/>
        <v>31.403259054120664</v>
      </c>
      <c r="E41" s="31">
        <f t="shared" si="3"/>
        <v>25218.291014515187</v>
      </c>
    </row>
    <row r="42" spans="1:14" s="22" customFormat="1" x14ac:dyDescent="0.2">
      <c r="A42" s="22">
        <v>25</v>
      </c>
      <c r="B42" s="23">
        <f t="shared" si="1"/>
        <v>107.97311028779086</v>
      </c>
      <c r="C42" s="23">
        <f t="shared" si="2"/>
        <v>76.664911763427142</v>
      </c>
      <c r="D42" s="23">
        <f t="shared" si="0"/>
        <v>31.308198524363714</v>
      </c>
      <c r="E42" s="31">
        <f t="shared" si="3"/>
        <v>25141.626102751761</v>
      </c>
    </row>
    <row r="43" spans="1:14" s="22" customFormat="1" x14ac:dyDescent="0.2">
      <c r="A43" s="22">
        <v>26</v>
      </c>
      <c r="B43" s="23">
        <f t="shared" si="1"/>
        <v>107.97311028779086</v>
      </c>
      <c r="C43" s="23">
        <f t="shared" si="2"/>
        <v>76.760090309664108</v>
      </c>
      <c r="D43" s="23">
        <f t="shared" si="0"/>
        <v>31.213019978126752</v>
      </c>
      <c r="E43" s="31">
        <f t="shared" si="3"/>
        <v>25064.866012442097</v>
      </c>
      <c r="M43" s="25"/>
      <c r="N43" s="25"/>
    </row>
    <row r="44" spans="1:14" s="22" customFormat="1" ht="14.25" x14ac:dyDescent="0.2">
      <c r="A44" s="22">
        <v>27</v>
      </c>
      <c r="B44" s="23">
        <f t="shared" si="1"/>
        <v>107.97311028779086</v>
      </c>
      <c r="C44" s="23">
        <f t="shared" si="2"/>
        <v>76.85538701889709</v>
      </c>
      <c r="D44" s="23">
        <f t="shared" si="0"/>
        <v>31.117723268893769</v>
      </c>
      <c r="E44" s="31">
        <f t="shared" si="3"/>
        <v>24988.010625423201</v>
      </c>
      <c r="N44" s="26"/>
    </row>
    <row r="45" spans="1:14" s="22" customFormat="1" ht="14.25" x14ac:dyDescent="0.2">
      <c r="A45" s="22">
        <v>28</v>
      </c>
      <c r="B45" s="23">
        <f t="shared" si="1"/>
        <v>107.97311028779086</v>
      </c>
      <c r="C45" s="23">
        <f t="shared" si="2"/>
        <v>76.950802037824005</v>
      </c>
      <c r="D45" s="23">
        <f t="shared" si="0"/>
        <v>31.022308249966855</v>
      </c>
      <c r="E45" s="31">
        <f t="shared" si="3"/>
        <v>24911.059823385378</v>
      </c>
      <c r="N45" s="27"/>
    </row>
    <row r="46" spans="1:14" s="22" customFormat="1" x14ac:dyDescent="0.2">
      <c r="A46" s="22">
        <v>29</v>
      </c>
      <c r="B46" s="23">
        <f t="shared" si="1"/>
        <v>107.97311028779086</v>
      </c>
      <c r="C46" s="23">
        <f t="shared" si="2"/>
        <v>77.046335513324891</v>
      </c>
      <c r="D46" s="23">
        <f t="shared" si="0"/>
        <v>30.926774774465976</v>
      </c>
      <c r="E46" s="31">
        <f t="shared" si="3"/>
        <v>24834.013487872053</v>
      </c>
      <c r="M46" s="25"/>
      <c r="N46" s="25"/>
    </row>
    <row r="47" spans="1:14" s="22" customFormat="1" ht="14.25" x14ac:dyDescent="0.2">
      <c r="A47" s="22">
        <v>30</v>
      </c>
      <c r="B47" s="23">
        <f t="shared" si="1"/>
        <v>107.97311028779086</v>
      </c>
      <c r="C47" s="23">
        <f t="shared" si="2"/>
        <v>77.141987592462101</v>
      </c>
      <c r="D47" s="23">
        <f t="shared" si="0"/>
        <v>30.831122695328755</v>
      </c>
      <c r="E47" s="31">
        <f t="shared" si="3"/>
        <v>24756.871500279591</v>
      </c>
      <c r="N47" s="26"/>
    </row>
    <row r="48" spans="1:14" s="22" customFormat="1" ht="14.25" x14ac:dyDescent="0.2">
      <c r="A48" s="22">
        <v>31</v>
      </c>
      <c r="B48" s="23">
        <f t="shared" si="1"/>
        <v>107.97311028779086</v>
      </c>
      <c r="C48" s="23">
        <f t="shared" si="2"/>
        <v>77.237758422480624</v>
      </c>
      <c r="D48" s="23">
        <f t="shared" si="0"/>
        <v>30.735351865310228</v>
      </c>
      <c r="E48" s="31">
        <f t="shared" si="3"/>
        <v>24679.633741857109</v>
      </c>
      <c r="N48" s="27"/>
    </row>
    <row r="49" spans="1:14" s="22" customFormat="1" x14ac:dyDescent="0.2">
      <c r="A49" s="22">
        <v>32</v>
      </c>
      <c r="B49" s="23">
        <f t="shared" si="1"/>
        <v>107.97311028779086</v>
      </c>
      <c r="C49" s="23">
        <f t="shared" si="2"/>
        <v>77.333648150808216</v>
      </c>
      <c r="D49" s="23">
        <f t="shared" si="0"/>
        <v>30.639462136982644</v>
      </c>
      <c r="E49" s="31">
        <f t="shared" si="3"/>
        <v>24602.300093706301</v>
      </c>
      <c r="M49" s="25"/>
      <c r="N49" s="25"/>
    </row>
    <row r="50" spans="1:14" s="22" customFormat="1" ht="14.25" x14ac:dyDescent="0.2">
      <c r="A50" s="22">
        <v>33</v>
      </c>
      <c r="B50" s="23">
        <f t="shared" si="1"/>
        <v>107.97311028779086</v>
      </c>
      <c r="C50" s="23">
        <f t="shared" si="2"/>
        <v>77.429656925055653</v>
      </c>
      <c r="D50" s="23">
        <f t="shared" si="0"/>
        <v>30.543453362735203</v>
      </c>
      <c r="E50" s="31">
        <f t="shared" si="3"/>
        <v>24524.870436781246</v>
      </c>
      <c r="N50" s="26"/>
    </row>
    <row r="51" spans="1:14" s="22" customFormat="1" ht="14.25" x14ac:dyDescent="0.2">
      <c r="A51" s="22">
        <v>34</v>
      </c>
      <c r="B51" s="23">
        <f t="shared" si="1"/>
        <v>107.97311028779086</v>
      </c>
      <c r="C51" s="23">
        <f t="shared" si="2"/>
        <v>77.52578489301699</v>
      </c>
      <c r="D51" s="23">
        <f t="shared" si="0"/>
        <v>30.447325394773866</v>
      </c>
      <c r="E51" s="31">
        <f t="shared" si="3"/>
        <v>24447.34465188823</v>
      </c>
      <c r="N51" s="27"/>
    </row>
    <row r="52" spans="1:14" s="22" customFormat="1" x14ac:dyDescent="0.2">
      <c r="A52" s="22">
        <v>35</v>
      </c>
      <c r="B52" s="23">
        <f t="shared" si="1"/>
        <v>107.97311028779086</v>
      </c>
      <c r="C52" s="23">
        <f t="shared" si="2"/>
        <v>77.622032202669757</v>
      </c>
      <c r="D52" s="23">
        <f t="shared" si="0"/>
        <v>30.351078085121099</v>
      </c>
      <c r="E52" s="31">
        <f t="shared" si="3"/>
        <v>24369.722619685559</v>
      </c>
      <c r="M52" s="25"/>
      <c r="N52" s="25"/>
    </row>
    <row r="53" spans="1:14" s="22" customFormat="1" ht="14.25" x14ac:dyDescent="0.2">
      <c r="A53" s="22">
        <v>36</v>
      </c>
      <c r="B53" s="23">
        <f t="shared" si="1"/>
        <v>107.97311028779086</v>
      </c>
      <c r="C53" s="23">
        <f t="shared" si="2"/>
        <v>77.718399002175204</v>
      </c>
      <c r="D53" s="23">
        <f t="shared" si="0"/>
        <v>30.254711285615652</v>
      </c>
      <c r="E53" s="31">
        <f t="shared" si="3"/>
        <v>24292.004220683382</v>
      </c>
      <c r="N53" s="26"/>
    </row>
    <row r="54" spans="1:14" s="22" customFormat="1" ht="14.25" x14ac:dyDescent="0.2">
      <c r="A54" s="22">
        <v>37</v>
      </c>
      <c r="B54" s="23">
        <f t="shared" si="1"/>
        <v>107.97311028779086</v>
      </c>
      <c r="C54" s="23">
        <f t="shared" si="2"/>
        <v>77.814885439878509</v>
      </c>
      <c r="D54" s="23">
        <f t="shared" si="0"/>
        <v>30.158224847912347</v>
      </c>
      <c r="E54" s="31">
        <f t="shared" si="3"/>
        <v>24214.189335243504</v>
      </c>
      <c r="N54" s="27"/>
    </row>
    <row r="55" spans="1:14" s="22" customFormat="1" x14ac:dyDescent="0.2">
      <c r="A55" s="22">
        <v>38</v>
      </c>
      <c r="B55" s="23">
        <f t="shared" si="1"/>
        <v>107.97311028779086</v>
      </c>
      <c r="C55" s="23">
        <f t="shared" si="2"/>
        <v>77.911491664309025</v>
      </c>
      <c r="D55" s="23">
        <f t="shared" si="0"/>
        <v>30.061618623481831</v>
      </c>
      <c r="E55" s="31">
        <f t="shared" si="3"/>
        <v>24136.277843579195</v>
      </c>
    </row>
    <row r="56" spans="1:14" s="22" customFormat="1" x14ac:dyDescent="0.2">
      <c r="A56" s="22">
        <v>39</v>
      </c>
      <c r="B56" s="23">
        <f t="shared" si="1"/>
        <v>107.97311028779086</v>
      </c>
      <c r="C56" s="23">
        <f t="shared" si="2"/>
        <v>78.008217824180505</v>
      </c>
      <c r="D56" s="23">
        <f t="shared" si="0"/>
        <v>29.964892463610351</v>
      </c>
      <c r="E56" s="31">
        <f t="shared" si="3"/>
        <v>24058.269625755016</v>
      </c>
    </row>
    <row r="57" spans="1:14" s="22" customFormat="1" ht="14.25" x14ac:dyDescent="0.2">
      <c r="A57" s="22">
        <v>40</v>
      </c>
      <c r="B57" s="23">
        <f t="shared" si="1"/>
        <v>107.97311028779086</v>
      </c>
      <c r="C57" s="23">
        <f t="shared" si="2"/>
        <v>78.105064068391329</v>
      </c>
      <c r="D57" s="23">
        <f t="shared" si="0"/>
        <v>29.868046219399535</v>
      </c>
      <c r="E57" s="31">
        <f t="shared" si="3"/>
        <v>23980.164561686626</v>
      </c>
      <c r="M57" s="26"/>
    </row>
    <row r="58" spans="1:14" s="22" customFormat="1" x14ac:dyDescent="0.2">
      <c r="A58" s="22">
        <v>41</v>
      </c>
      <c r="B58" s="23">
        <f t="shared" si="1"/>
        <v>107.97311028779086</v>
      </c>
      <c r="C58" s="23">
        <f t="shared" si="2"/>
        <v>78.202030546024716</v>
      </c>
      <c r="D58" s="23">
        <f t="shared" si="0"/>
        <v>29.771079741766144</v>
      </c>
      <c r="E58" s="31">
        <f t="shared" si="3"/>
        <v>23901.962531140602</v>
      </c>
    </row>
    <row r="59" spans="1:14" s="22" customFormat="1" x14ac:dyDescent="0.2">
      <c r="A59" s="22">
        <v>42</v>
      </c>
      <c r="B59" s="23">
        <f t="shared" si="1"/>
        <v>107.97311028779086</v>
      </c>
      <c r="C59" s="23">
        <f t="shared" si="2"/>
        <v>78.299117406348998</v>
      </c>
      <c r="D59" s="23">
        <f t="shared" si="0"/>
        <v>29.673992881441862</v>
      </c>
      <c r="E59" s="31">
        <f t="shared" si="3"/>
        <v>23823.663413734252</v>
      </c>
    </row>
    <row r="60" spans="1:14" s="22" customFormat="1" x14ac:dyDescent="0.2">
      <c r="A60" s="22">
        <v>43</v>
      </c>
      <c r="B60" s="23">
        <f t="shared" si="1"/>
        <v>107.97311028779086</v>
      </c>
      <c r="C60" s="23">
        <f t="shared" si="2"/>
        <v>78.396324798817801</v>
      </c>
      <c r="D60" s="23">
        <f t="shared" si="0"/>
        <v>29.576785488973059</v>
      </c>
      <c r="E60" s="31">
        <f t="shared" si="3"/>
        <v>23745.267088935434</v>
      </c>
    </row>
    <row r="61" spans="1:14" s="22" customFormat="1" x14ac:dyDescent="0.2">
      <c r="A61" s="22">
        <v>44</v>
      </c>
      <c r="B61" s="23">
        <f t="shared" si="1"/>
        <v>107.97311028779086</v>
      </c>
      <c r="C61" s="23">
        <f t="shared" si="2"/>
        <v>78.493652873070303</v>
      </c>
      <c r="D61" s="23">
        <f t="shared" si="0"/>
        <v>29.47945741472056</v>
      </c>
      <c r="E61" s="31">
        <f t="shared" si="3"/>
        <v>23666.773436062365</v>
      </c>
    </row>
    <row r="62" spans="1:14" s="22" customFormat="1" x14ac:dyDescent="0.2">
      <c r="A62" s="22">
        <v>45</v>
      </c>
      <c r="B62" s="23">
        <f t="shared" si="1"/>
        <v>107.97311028779086</v>
      </c>
      <c r="C62" s="23">
        <f t="shared" si="2"/>
        <v>78.591101778931446</v>
      </c>
      <c r="D62" s="23">
        <f t="shared" si="0"/>
        <v>29.382008508859414</v>
      </c>
      <c r="E62" s="31">
        <f t="shared" si="3"/>
        <v>23588.182334283432</v>
      </c>
    </row>
    <row r="63" spans="1:14" s="22" customFormat="1" x14ac:dyDescent="0.2">
      <c r="A63" s="22">
        <v>46</v>
      </c>
      <c r="B63" s="23">
        <f t="shared" si="1"/>
        <v>107.97311028779086</v>
      </c>
      <c r="C63" s="23">
        <f t="shared" si="2"/>
        <v>78.688671666412205</v>
      </c>
      <c r="D63" s="23">
        <f t="shared" si="0"/>
        <v>29.284438621378651</v>
      </c>
      <c r="E63" s="31">
        <f t="shared" si="3"/>
        <v>23509.49366261702</v>
      </c>
    </row>
    <row r="64" spans="1:14" s="22" customFormat="1" x14ac:dyDescent="0.2">
      <c r="A64" s="22">
        <v>47</v>
      </c>
      <c r="B64" s="23">
        <f t="shared" si="1"/>
        <v>107.97311028779086</v>
      </c>
      <c r="C64" s="23">
        <f t="shared" si="2"/>
        <v>78.786362685709776</v>
      </c>
      <c r="D64" s="23">
        <f t="shared" si="0"/>
        <v>29.186747602081091</v>
      </c>
      <c r="E64" s="31">
        <f t="shared" si="3"/>
        <v>23430.70729993131</v>
      </c>
    </row>
    <row r="65" spans="1:5" s="22" customFormat="1" x14ac:dyDescent="0.2">
      <c r="A65" s="22">
        <v>48</v>
      </c>
      <c r="B65" s="23">
        <f t="shared" si="1"/>
        <v>107.97311028779086</v>
      </c>
      <c r="C65" s="23">
        <f t="shared" si="2"/>
        <v>78.8841749872078</v>
      </c>
      <c r="D65" s="23">
        <f t="shared" si="0"/>
        <v>29.088935300583064</v>
      </c>
      <c r="E65" s="31">
        <f t="shared" si="3"/>
        <v>23351.823124944101</v>
      </c>
    </row>
    <row r="66" spans="1:5" s="22" customFormat="1" x14ac:dyDescent="0.2">
      <c r="A66" s="22">
        <v>49</v>
      </c>
      <c r="B66" s="23">
        <f t="shared" si="1"/>
        <v>107.97311028779086</v>
      </c>
      <c r="C66" s="23">
        <f t="shared" si="2"/>
        <v>78.982108721476649</v>
      </c>
      <c r="D66" s="23">
        <f t="shared" si="0"/>
        <v>28.99100156631421</v>
      </c>
      <c r="E66" s="31">
        <f t="shared" si="3"/>
        <v>23272.841016222625</v>
      </c>
    </row>
    <row r="67" spans="1:5" s="22" customFormat="1" x14ac:dyDescent="0.2">
      <c r="A67" s="22">
        <v>50</v>
      </c>
      <c r="B67" s="23">
        <f t="shared" si="1"/>
        <v>107.97311028779086</v>
      </c>
      <c r="C67" s="23">
        <f t="shared" si="2"/>
        <v>79.080164039273626</v>
      </c>
      <c r="D67" s="23">
        <f t="shared" si="0"/>
        <v>28.892946248517237</v>
      </c>
      <c r="E67" s="31">
        <f t="shared" si="3"/>
        <v>23193.76085218335</v>
      </c>
    </row>
    <row r="68" spans="1:5" s="22" customFormat="1" x14ac:dyDescent="0.2">
      <c r="A68" s="22">
        <v>51</v>
      </c>
      <c r="B68" s="23">
        <f t="shared" si="1"/>
        <v>107.97311028779086</v>
      </c>
      <c r="C68" s="23">
        <f t="shared" si="2"/>
        <v>79.178341091543174</v>
      </c>
      <c r="D68" s="23">
        <f t="shared" si="0"/>
        <v>28.794769196247682</v>
      </c>
      <c r="E68" s="31">
        <f t="shared" si="3"/>
        <v>23114.582511091809</v>
      </c>
    </row>
    <row r="69" spans="1:5" s="22" customFormat="1" x14ac:dyDescent="0.2">
      <c r="A69" s="22">
        <v>52</v>
      </c>
      <c r="B69" s="23">
        <f t="shared" si="1"/>
        <v>107.97311028779086</v>
      </c>
      <c r="C69" s="23">
        <f t="shared" si="2"/>
        <v>79.276640029417152</v>
      </c>
      <c r="D69" s="23">
        <f t="shared" si="0"/>
        <v>28.696470258373704</v>
      </c>
      <c r="E69" s="31">
        <f t="shared" si="3"/>
        <v>23035.305871062392</v>
      </c>
    </row>
    <row r="70" spans="1:5" s="22" customFormat="1" x14ac:dyDescent="0.2">
      <c r="A70" s="22">
        <v>53</v>
      </c>
      <c r="B70" s="23">
        <f t="shared" si="1"/>
        <v>107.97311028779086</v>
      </c>
      <c r="C70" s="23">
        <f t="shared" si="2"/>
        <v>79.375061004215041</v>
      </c>
      <c r="D70" s="23">
        <f t="shared" si="0"/>
        <v>28.598049283575811</v>
      </c>
      <c r="E70" s="31">
        <f t="shared" si="3"/>
        <v>22955.930810058177</v>
      </c>
    </row>
    <row r="71" spans="1:5" s="22" customFormat="1" x14ac:dyDescent="0.2">
      <c r="A71" s="22">
        <v>54</v>
      </c>
      <c r="B71" s="23">
        <f t="shared" si="1"/>
        <v>107.97311028779086</v>
      </c>
      <c r="C71" s="23">
        <f t="shared" si="2"/>
        <v>79.473604167444194</v>
      </c>
      <c r="D71" s="23">
        <f t="shared" si="0"/>
        <v>28.499506120346666</v>
      </c>
      <c r="E71" s="31">
        <f t="shared" si="3"/>
        <v>22876.457205890732</v>
      </c>
    </row>
    <row r="72" spans="1:5" s="22" customFormat="1" x14ac:dyDescent="0.2">
      <c r="A72" s="22">
        <v>55</v>
      </c>
      <c r="B72" s="23">
        <f t="shared" si="1"/>
        <v>107.97311028779086</v>
      </c>
      <c r="C72" s="23">
        <f t="shared" si="2"/>
        <v>79.572269670800026</v>
      </c>
      <c r="D72" s="23">
        <f t="shared" si="0"/>
        <v>28.400840616990834</v>
      </c>
      <c r="E72" s="31">
        <f t="shared" si="3"/>
        <v>22796.884936219933</v>
      </c>
    </row>
    <row r="73" spans="1:5" s="22" customFormat="1" x14ac:dyDescent="0.2">
      <c r="A73" s="22">
        <v>56</v>
      </c>
      <c r="B73" s="23">
        <f t="shared" si="1"/>
        <v>107.97311028779086</v>
      </c>
      <c r="C73" s="23">
        <f t="shared" si="2"/>
        <v>79.67105766616632</v>
      </c>
      <c r="D73" s="23">
        <f t="shared" si="0"/>
        <v>28.302052621624547</v>
      </c>
      <c r="E73" s="31">
        <f t="shared" si="3"/>
        <v>22717.213878553765</v>
      </c>
    </row>
    <row r="74" spans="1:5" s="22" customFormat="1" x14ac:dyDescent="0.2">
      <c r="A74" s="22">
        <v>57</v>
      </c>
      <c r="B74" s="23">
        <f t="shared" si="1"/>
        <v>107.97311028779086</v>
      </c>
      <c r="C74" s="23">
        <f t="shared" si="2"/>
        <v>79.769968305615379</v>
      </c>
      <c r="D74" s="23">
        <f t="shared" si="0"/>
        <v>28.203141982175477</v>
      </c>
      <c r="E74" s="31">
        <f t="shared" si="3"/>
        <v>22637.443910248148</v>
      </c>
    </row>
    <row r="75" spans="1:5" s="22" customFormat="1" x14ac:dyDescent="0.2">
      <c r="A75" s="22">
        <v>58</v>
      </c>
      <c r="B75" s="23">
        <f t="shared" si="1"/>
        <v>107.97311028779086</v>
      </c>
      <c r="C75" s="23">
        <f t="shared" si="2"/>
        <v>79.869001741408354</v>
      </c>
      <c r="D75" s="23">
        <f t="shared" si="0"/>
        <v>28.104108546382506</v>
      </c>
      <c r="E75" s="31">
        <f t="shared" si="3"/>
        <v>22557.57490850674</v>
      </c>
    </row>
    <row r="76" spans="1:5" s="22" customFormat="1" x14ac:dyDescent="0.2">
      <c r="A76" s="22">
        <v>59</v>
      </c>
      <c r="B76" s="23">
        <f t="shared" si="1"/>
        <v>107.97311028779086</v>
      </c>
      <c r="C76" s="23">
        <f t="shared" si="2"/>
        <v>79.968158125995373</v>
      </c>
      <c r="D76" s="23">
        <f t="shared" si="0"/>
        <v>28.004952161795483</v>
      </c>
      <c r="E76" s="31">
        <f t="shared" si="3"/>
        <v>22477.606750380746</v>
      </c>
    </row>
    <row r="77" spans="1:5" s="22" customFormat="1" x14ac:dyDescent="0.2">
      <c r="A77" s="22">
        <v>60</v>
      </c>
      <c r="B77" s="23">
        <f t="shared" si="1"/>
        <v>107.97311028779086</v>
      </c>
      <c r="C77" s="23">
        <f t="shared" si="2"/>
        <v>80.06743761201588</v>
      </c>
      <c r="D77" s="23">
        <f t="shared" si="0"/>
        <v>27.905672675774987</v>
      </c>
      <c r="E77" s="31">
        <f t="shared" si="3"/>
        <v>22397.539312768731</v>
      </c>
    </row>
    <row r="78" spans="1:5" s="22" customFormat="1" x14ac:dyDescent="0.2">
      <c r="A78" s="22">
        <v>61</v>
      </c>
      <c r="B78" s="23">
        <f t="shared" si="1"/>
        <v>107.97311028779086</v>
      </c>
      <c r="C78" s="23">
        <f t="shared" si="2"/>
        <v>80.166840352298763</v>
      </c>
      <c r="D78" s="23">
        <f t="shared" si="0"/>
        <v>27.8062699354921</v>
      </c>
      <c r="E78" s="31">
        <f t="shared" si="3"/>
        <v>22317.372472416431</v>
      </c>
    </row>
    <row r="79" spans="1:5" s="22" customFormat="1" x14ac:dyDescent="0.2">
      <c r="A79" s="22">
        <v>62</v>
      </c>
      <c r="B79" s="23">
        <f t="shared" si="1"/>
        <v>107.97311028779086</v>
      </c>
      <c r="C79" s="23">
        <f t="shared" si="2"/>
        <v>80.266366499862684</v>
      </c>
      <c r="D79" s="23">
        <f t="shared" si="0"/>
        <v>27.706743787928172</v>
      </c>
      <c r="E79" s="31">
        <f t="shared" si="3"/>
        <v>22237.10610591657</v>
      </c>
    </row>
    <row r="80" spans="1:5" s="22" customFormat="1" x14ac:dyDescent="0.2">
      <c r="A80" s="22">
        <v>63</v>
      </c>
      <c r="B80" s="23">
        <f t="shared" si="1"/>
        <v>107.97311028779086</v>
      </c>
      <c r="C80" s="23">
        <f t="shared" si="2"/>
        <v>80.366016207916289</v>
      </c>
      <c r="D80" s="23">
        <f t="shared" si="0"/>
        <v>27.607094079874578</v>
      </c>
      <c r="E80" s="31">
        <f t="shared" si="3"/>
        <v>22156.740089708652</v>
      </c>
    </row>
    <row r="81" spans="1:5" s="22" customFormat="1" x14ac:dyDescent="0.2">
      <c r="A81" s="22">
        <v>64</v>
      </c>
      <c r="B81" s="23">
        <f t="shared" si="1"/>
        <v>107.97311028779086</v>
      </c>
      <c r="C81" s="23">
        <f t="shared" si="2"/>
        <v>80.465789629858378</v>
      </c>
      <c r="D81" s="23">
        <f t="shared" si="0"/>
        <v>27.507320657932485</v>
      </c>
      <c r="E81" s="31">
        <f t="shared" si="3"/>
        <v>22076.274300078792</v>
      </c>
    </row>
    <row r="82" spans="1:5" s="22" customFormat="1" x14ac:dyDescent="0.2">
      <c r="A82" s="22">
        <v>65</v>
      </c>
      <c r="B82" s="23">
        <f t="shared" si="1"/>
        <v>107.97311028779086</v>
      </c>
      <c r="C82" s="23">
        <f t="shared" si="2"/>
        <v>80.565686919278235</v>
      </c>
      <c r="D82" s="23">
        <f t="shared" ref="D82:D145" si="4">E81*B$7</f>
        <v>27.407423368512621</v>
      </c>
      <c r="E82" s="31">
        <f t="shared" si="3"/>
        <v>21995.708613159513</v>
      </c>
    </row>
    <row r="83" spans="1:5" s="22" customFormat="1" x14ac:dyDescent="0.2">
      <c r="A83" s="22">
        <v>66</v>
      </c>
      <c r="B83" s="23">
        <f t="shared" ref="B83:B146" si="5">B$9</f>
        <v>107.97311028779086</v>
      </c>
      <c r="C83" s="23">
        <f t="shared" ref="C83:C146" si="6">B83-D83</f>
        <v>80.665708229955811</v>
      </c>
      <c r="D83" s="23">
        <f t="shared" si="4"/>
        <v>27.307402057835041</v>
      </c>
      <c r="E83" s="31">
        <f t="shared" ref="E83:E146" si="7">E82-C83</f>
        <v>21915.042904929556</v>
      </c>
    </row>
    <row r="84" spans="1:5" s="22" customFormat="1" x14ac:dyDescent="0.2">
      <c r="A84" s="22">
        <v>67</v>
      </c>
      <c r="B84" s="23">
        <f t="shared" si="5"/>
        <v>107.97311028779086</v>
      </c>
      <c r="C84" s="23">
        <f t="shared" si="6"/>
        <v>80.765853715861994</v>
      </c>
      <c r="D84" s="23">
        <f t="shared" si="4"/>
        <v>27.207256571928866</v>
      </c>
      <c r="E84" s="31">
        <f t="shared" si="7"/>
        <v>21834.277051213696</v>
      </c>
    </row>
    <row r="85" spans="1:5" s="22" customFormat="1" x14ac:dyDescent="0.2">
      <c r="A85" s="22">
        <v>68</v>
      </c>
      <c r="B85" s="23">
        <f t="shared" si="5"/>
        <v>107.97311028779086</v>
      </c>
      <c r="C85" s="23">
        <f t="shared" si="6"/>
        <v>80.866123531158777</v>
      </c>
      <c r="D85" s="23">
        <f t="shared" si="4"/>
        <v>27.106986756632086</v>
      </c>
      <c r="E85" s="31">
        <f t="shared" si="7"/>
        <v>21753.410927682537</v>
      </c>
    </row>
    <row r="86" spans="1:5" s="22" customFormat="1" x14ac:dyDescent="0.2">
      <c r="A86" s="22">
        <v>69</v>
      </c>
      <c r="B86" s="23">
        <f t="shared" si="5"/>
        <v>107.97311028779086</v>
      </c>
      <c r="C86" s="23">
        <f t="shared" si="6"/>
        <v>80.966517830199578</v>
      </c>
      <c r="D86" s="23">
        <f t="shared" si="4"/>
        <v>27.006592457591282</v>
      </c>
      <c r="E86" s="31">
        <f t="shared" si="7"/>
        <v>21672.444409852338</v>
      </c>
    </row>
    <row r="87" spans="1:5" s="22" customFormat="1" x14ac:dyDescent="0.2">
      <c r="A87" s="22">
        <v>70</v>
      </c>
      <c r="B87" s="23">
        <f t="shared" si="5"/>
        <v>107.97311028779086</v>
      </c>
      <c r="C87" s="23">
        <f t="shared" si="6"/>
        <v>81.06703676752943</v>
      </c>
      <c r="D87" s="23">
        <f t="shared" si="4"/>
        <v>26.906073520261423</v>
      </c>
      <c r="E87" s="31">
        <f t="shared" si="7"/>
        <v>21591.377373084808</v>
      </c>
    </row>
    <row r="88" spans="1:5" s="22" customFormat="1" x14ac:dyDescent="0.2">
      <c r="A88" s="22">
        <v>71</v>
      </c>
      <c r="B88" s="23">
        <f t="shared" si="5"/>
        <v>107.97311028779086</v>
      </c>
      <c r="C88" s="23">
        <f t="shared" si="6"/>
        <v>81.167680497885272</v>
      </c>
      <c r="D88" s="23">
        <f t="shared" si="4"/>
        <v>26.805429789905592</v>
      </c>
      <c r="E88" s="31">
        <f t="shared" si="7"/>
        <v>21510.209692586923</v>
      </c>
    </row>
    <row r="89" spans="1:5" s="22" customFormat="1" x14ac:dyDescent="0.2">
      <c r="A89" s="22">
        <v>72</v>
      </c>
      <c r="B89" s="23">
        <f t="shared" si="5"/>
        <v>107.97311028779086</v>
      </c>
      <c r="C89" s="23">
        <f t="shared" si="6"/>
        <v>81.268449176196071</v>
      </c>
      <c r="D89" s="23">
        <f t="shared" si="4"/>
        <v>26.704661111594788</v>
      </c>
      <c r="E89" s="31">
        <f t="shared" si="7"/>
        <v>21428.941243410725</v>
      </c>
    </row>
    <row r="90" spans="1:5" s="22" customFormat="1" x14ac:dyDescent="0.2">
      <c r="A90" s="22">
        <v>73</v>
      </c>
      <c r="B90" s="23">
        <f t="shared" si="5"/>
        <v>107.97311028779086</v>
      </c>
      <c r="C90" s="23">
        <f t="shared" si="6"/>
        <v>81.3693429575832</v>
      </c>
      <c r="D90" s="23">
        <f t="shared" si="4"/>
        <v>26.603767330207656</v>
      </c>
      <c r="E90" s="31">
        <f t="shared" si="7"/>
        <v>21347.571900453142</v>
      </c>
    </row>
    <row r="91" spans="1:5" s="22" customFormat="1" x14ac:dyDescent="0.2">
      <c r="A91" s="22">
        <v>74</v>
      </c>
      <c r="B91" s="23">
        <f t="shared" si="5"/>
        <v>107.97311028779086</v>
      </c>
      <c r="C91" s="23">
        <f t="shared" si="6"/>
        <v>81.470361997360584</v>
      </c>
      <c r="D91" s="23">
        <f t="shared" si="4"/>
        <v>26.502748290430269</v>
      </c>
      <c r="E91" s="31">
        <f t="shared" si="7"/>
        <v>21266.101538455783</v>
      </c>
    </row>
    <row r="92" spans="1:5" s="22" customFormat="1" x14ac:dyDescent="0.2">
      <c r="A92" s="22">
        <v>75</v>
      </c>
      <c r="B92" s="23">
        <f t="shared" si="5"/>
        <v>107.97311028779086</v>
      </c>
      <c r="C92" s="23">
        <f t="shared" si="6"/>
        <v>81.571506451034992</v>
      </c>
      <c r="D92" s="23">
        <f t="shared" si="4"/>
        <v>26.401603836755871</v>
      </c>
      <c r="E92" s="31">
        <f t="shared" si="7"/>
        <v>21184.53003200475</v>
      </c>
    </row>
    <row r="93" spans="1:5" s="22" customFormat="1" x14ac:dyDescent="0.2">
      <c r="A93" s="22">
        <v>76</v>
      </c>
      <c r="B93" s="23">
        <f t="shared" si="5"/>
        <v>107.97311028779086</v>
      </c>
      <c r="C93" s="23">
        <f t="shared" si="6"/>
        <v>81.672776474306204</v>
      </c>
      <c r="D93" s="23">
        <f t="shared" si="4"/>
        <v>26.300333813484649</v>
      </c>
      <c r="E93" s="31">
        <f t="shared" si="7"/>
        <v>21102.857255530445</v>
      </c>
    </row>
    <row r="94" spans="1:5" s="22" customFormat="1" x14ac:dyDescent="0.2">
      <c r="A94" s="22">
        <v>77</v>
      </c>
      <c r="B94" s="23">
        <f t="shared" si="5"/>
        <v>107.97311028779086</v>
      </c>
      <c r="C94" s="23">
        <f t="shared" si="6"/>
        <v>81.774172223067367</v>
      </c>
      <c r="D94" s="23">
        <f t="shared" si="4"/>
        <v>26.198938064723492</v>
      </c>
      <c r="E94" s="31">
        <f t="shared" si="7"/>
        <v>21021.083083307378</v>
      </c>
    </row>
    <row r="95" spans="1:5" s="22" customFormat="1" x14ac:dyDescent="0.2">
      <c r="A95" s="22">
        <v>78</v>
      </c>
      <c r="B95" s="23">
        <f t="shared" si="5"/>
        <v>107.97311028779086</v>
      </c>
      <c r="C95" s="23">
        <f t="shared" si="6"/>
        <v>81.87569385340511</v>
      </c>
      <c r="D95" s="23">
        <f t="shared" si="4"/>
        <v>26.09741643438575</v>
      </c>
      <c r="E95" s="31">
        <f t="shared" si="7"/>
        <v>20939.207389453972</v>
      </c>
    </row>
    <row r="96" spans="1:5" s="22" customFormat="1" x14ac:dyDescent="0.2">
      <c r="A96" s="22">
        <v>79</v>
      </c>
      <c r="B96" s="23">
        <f t="shared" si="5"/>
        <v>107.97311028779086</v>
      </c>
      <c r="C96" s="23">
        <f t="shared" si="6"/>
        <v>81.977341521599868</v>
      </c>
      <c r="D96" s="23">
        <f t="shared" si="4"/>
        <v>25.995768766190984</v>
      </c>
      <c r="E96" s="31">
        <f t="shared" si="7"/>
        <v>20857.230047932371</v>
      </c>
    </row>
    <row r="97" spans="1:5" s="22" customFormat="1" x14ac:dyDescent="0.2">
      <c r="A97" s="22">
        <v>80</v>
      </c>
      <c r="B97" s="23">
        <f t="shared" si="5"/>
        <v>107.97311028779086</v>
      </c>
      <c r="C97" s="23">
        <f t="shared" si="6"/>
        <v>82.079115384126112</v>
      </c>
      <c r="D97" s="23">
        <f t="shared" si="4"/>
        <v>25.893994903664748</v>
      </c>
      <c r="E97" s="31">
        <f t="shared" si="7"/>
        <v>20775.150932548244</v>
      </c>
    </row>
    <row r="98" spans="1:5" s="22" customFormat="1" x14ac:dyDescent="0.2">
      <c r="A98" s="22">
        <v>81</v>
      </c>
      <c r="B98" s="23">
        <f t="shared" si="5"/>
        <v>107.97311028779086</v>
      </c>
      <c r="C98" s="23">
        <f t="shared" si="6"/>
        <v>82.181015597652532</v>
      </c>
      <c r="D98" s="23">
        <f t="shared" si="4"/>
        <v>25.792094690138331</v>
      </c>
      <c r="E98" s="31">
        <f t="shared" si="7"/>
        <v>20692.969916950591</v>
      </c>
    </row>
    <row r="99" spans="1:5" s="22" customFormat="1" x14ac:dyDescent="0.2">
      <c r="A99" s="22">
        <v>82</v>
      </c>
      <c r="B99" s="23">
        <f t="shared" si="5"/>
        <v>107.97311028779086</v>
      </c>
      <c r="C99" s="23">
        <f t="shared" si="6"/>
        <v>82.283042319042337</v>
      </c>
      <c r="D99" s="23">
        <f t="shared" si="4"/>
        <v>25.690067968748519</v>
      </c>
      <c r="E99" s="31">
        <f t="shared" si="7"/>
        <v>20610.686874631549</v>
      </c>
    </row>
    <row r="100" spans="1:5" s="22" customFormat="1" x14ac:dyDescent="0.2">
      <c r="A100" s="22">
        <v>83</v>
      </c>
      <c r="B100" s="23">
        <f t="shared" si="5"/>
        <v>107.97311028779086</v>
      </c>
      <c r="C100" s="23">
        <f t="shared" si="6"/>
        <v>82.38519570535351</v>
      </c>
      <c r="D100" s="23">
        <f t="shared" si="4"/>
        <v>25.587914582437353</v>
      </c>
      <c r="E100" s="31">
        <f t="shared" si="7"/>
        <v>20528.301678926196</v>
      </c>
    </row>
    <row r="101" spans="1:5" s="22" customFormat="1" x14ac:dyDescent="0.2">
      <c r="A101" s="22">
        <v>84</v>
      </c>
      <c r="B101" s="23">
        <f t="shared" si="5"/>
        <v>107.97311028779086</v>
      </c>
      <c r="C101" s="23">
        <f t="shared" si="6"/>
        <v>82.487475913838978</v>
      </c>
      <c r="D101" s="23">
        <f t="shared" si="4"/>
        <v>25.485634373951889</v>
      </c>
      <c r="E101" s="31">
        <f t="shared" si="7"/>
        <v>20445.814203012356</v>
      </c>
    </row>
    <row r="102" spans="1:5" s="22" customFormat="1" x14ac:dyDescent="0.2">
      <c r="A102" s="22">
        <v>85</v>
      </c>
      <c r="B102" s="23">
        <f t="shared" si="5"/>
        <v>107.97311028779086</v>
      </c>
      <c r="C102" s="23">
        <f t="shared" si="6"/>
        <v>82.58988310194691</v>
      </c>
      <c r="D102" s="23">
        <f t="shared" si="4"/>
        <v>25.38322718584395</v>
      </c>
      <c r="E102" s="31">
        <f t="shared" si="7"/>
        <v>20363.224319910409</v>
      </c>
    </row>
    <row r="103" spans="1:5" s="22" customFormat="1" x14ac:dyDescent="0.2">
      <c r="A103" s="22">
        <v>86</v>
      </c>
      <c r="B103" s="23">
        <f t="shared" si="5"/>
        <v>107.97311028779086</v>
      </c>
      <c r="C103" s="23">
        <f t="shared" si="6"/>
        <v>82.692417427320962</v>
      </c>
      <c r="D103" s="23">
        <f t="shared" si="4"/>
        <v>25.280692860469902</v>
      </c>
      <c r="E103" s="31">
        <f t="shared" si="7"/>
        <v>20280.531902483086</v>
      </c>
    </row>
    <row r="104" spans="1:5" s="22" customFormat="1" x14ac:dyDescent="0.2">
      <c r="A104" s="22">
        <v>87</v>
      </c>
      <c r="B104" s="23">
        <f t="shared" si="5"/>
        <v>107.97311028779086</v>
      </c>
      <c r="C104" s="23">
        <f t="shared" si="6"/>
        <v>82.795079047800471</v>
      </c>
      <c r="D104" s="23">
        <f t="shared" si="4"/>
        <v>25.178031239990386</v>
      </c>
      <c r="E104" s="31">
        <f t="shared" si="7"/>
        <v>20197.736823435287</v>
      </c>
    </row>
    <row r="105" spans="1:5" s="22" customFormat="1" x14ac:dyDescent="0.2">
      <c r="A105" s="22">
        <v>88</v>
      </c>
      <c r="B105" s="23">
        <f t="shared" si="5"/>
        <v>107.97311028779086</v>
      </c>
      <c r="C105" s="23">
        <f t="shared" si="6"/>
        <v>82.897868121420771</v>
      </c>
      <c r="D105" s="23">
        <f t="shared" si="4"/>
        <v>25.075242166370096</v>
      </c>
      <c r="E105" s="31">
        <f t="shared" si="7"/>
        <v>20114.838955313866</v>
      </c>
    </row>
    <row r="106" spans="1:5" s="22" customFormat="1" x14ac:dyDescent="0.2">
      <c r="A106" s="22">
        <v>89</v>
      </c>
      <c r="B106" s="23">
        <f t="shared" si="5"/>
        <v>107.97311028779086</v>
      </c>
      <c r="C106" s="23">
        <f t="shared" si="6"/>
        <v>83.00078480641335</v>
      </c>
      <c r="D106" s="23">
        <f t="shared" si="4"/>
        <v>24.972325481377517</v>
      </c>
      <c r="E106" s="31">
        <f t="shared" si="7"/>
        <v>20031.838170507453</v>
      </c>
    </row>
    <row r="107" spans="1:5" s="22" customFormat="1" x14ac:dyDescent="0.2">
      <c r="A107" s="22">
        <v>90</v>
      </c>
      <c r="B107" s="23">
        <f t="shared" si="5"/>
        <v>107.97311028779086</v>
      </c>
      <c r="C107" s="23">
        <f t="shared" si="6"/>
        <v>83.103829261206158</v>
      </c>
      <c r="D107" s="23">
        <f t="shared" si="4"/>
        <v>24.869281026584709</v>
      </c>
      <c r="E107" s="31">
        <f t="shared" si="7"/>
        <v>19948.734341246247</v>
      </c>
    </row>
    <row r="108" spans="1:5" s="22" customFormat="1" x14ac:dyDescent="0.2">
      <c r="A108" s="22">
        <v>91</v>
      </c>
      <c r="B108" s="23">
        <f t="shared" si="5"/>
        <v>107.97311028779086</v>
      </c>
      <c r="C108" s="23">
        <f t="shared" si="6"/>
        <v>83.207001644423841</v>
      </c>
      <c r="D108" s="23">
        <f t="shared" si="4"/>
        <v>24.766108643367023</v>
      </c>
      <c r="E108" s="31">
        <f t="shared" si="7"/>
        <v>19865.527339601824</v>
      </c>
    </row>
    <row r="109" spans="1:5" s="22" customFormat="1" x14ac:dyDescent="0.2">
      <c r="A109" s="22">
        <v>92</v>
      </c>
      <c r="B109" s="23">
        <f t="shared" si="5"/>
        <v>107.97311028779086</v>
      </c>
      <c r="C109" s="23">
        <f t="shared" si="6"/>
        <v>83.310302114887961</v>
      </c>
      <c r="D109" s="23">
        <f t="shared" si="4"/>
        <v>24.662808172902896</v>
      </c>
      <c r="E109" s="31">
        <f t="shared" si="7"/>
        <v>19782.217037486935</v>
      </c>
    </row>
    <row r="110" spans="1:5" s="22" customFormat="1" x14ac:dyDescent="0.2">
      <c r="A110" s="22">
        <v>93</v>
      </c>
      <c r="B110" s="23">
        <f t="shared" si="5"/>
        <v>107.97311028779086</v>
      </c>
      <c r="C110" s="23">
        <f t="shared" si="6"/>
        <v>83.413730831617272</v>
      </c>
      <c r="D110" s="23">
        <f t="shared" si="4"/>
        <v>24.559379456173584</v>
      </c>
      <c r="E110" s="31">
        <f t="shared" si="7"/>
        <v>19698.803306655318</v>
      </c>
    </row>
    <row r="111" spans="1:5" s="22" customFormat="1" x14ac:dyDescent="0.2">
      <c r="A111" s="22">
        <v>94</v>
      </c>
      <c r="B111" s="23">
        <f t="shared" si="5"/>
        <v>107.97311028779086</v>
      </c>
      <c r="C111" s="23">
        <f t="shared" si="6"/>
        <v>83.517287953827932</v>
      </c>
      <c r="D111" s="23">
        <f t="shared" si="4"/>
        <v>24.455822333962924</v>
      </c>
      <c r="E111" s="31">
        <f t="shared" si="7"/>
        <v>19615.286018701489</v>
      </c>
    </row>
    <row r="112" spans="1:5" s="22" customFormat="1" x14ac:dyDescent="0.2">
      <c r="A112" s="22">
        <v>95</v>
      </c>
      <c r="B112" s="23">
        <f t="shared" si="5"/>
        <v>107.97311028779086</v>
      </c>
      <c r="C112" s="23">
        <f t="shared" si="6"/>
        <v>83.620973640933769</v>
      </c>
      <c r="D112" s="23">
        <f t="shared" si="4"/>
        <v>24.35213664685709</v>
      </c>
      <c r="E112" s="31">
        <f t="shared" si="7"/>
        <v>19531.665045060556</v>
      </c>
    </row>
    <row r="113" spans="1:5" s="22" customFormat="1" x14ac:dyDescent="0.2">
      <c r="A113" s="22">
        <v>96</v>
      </c>
      <c r="B113" s="23">
        <f t="shared" si="5"/>
        <v>107.97311028779086</v>
      </c>
      <c r="C113" s="23">
        <f t="shared" si="6"/>
        <v>83.724788052546515</v>
      </c>
      <c r="D113" s="23">
        <f t="shared" si="4"/>
        <v>24.248322235244341</v>
      </c>
      <c r="E113" s="31">
        <f t="shared" si="7"/>
        <v>19447.940257008009</v>
      </c>
    </row>
    <row r="114" spans="1:5" s="22" customFormat="1" x14ac:dyDescent="0.2">
      <c r="A114" s="22">
        <v>97</v>
      </c>
      <c r="B114" s="23">
        <f t="shared" si="5"/>
        <v>107.97311028779086</v>
      </c>
      <c r="C114" s="23">
        <f t="shared" si="6"/>
        <v>83.828731348476069</v>
      </c>
      <c r="D114" s="23">
        <f t="shared" si="4"/>
        <v>24.144378939314787</v>
      </c>
      <c r="E114" s="31">
        <f t="shared" si="7"/>
        <v>19364.111525659533</v>
      </c>
    </row>
    <row r="115" spans="1:5" s="22" customFormat="1" x14ac:dyDescent="0.2">
      <c r="A115" s="22">
        <v>98</v>
      </c>
      <c r="B115" s="23">
        <f t="shared" si="5"/>
        <v>107.97311028779086</v>
      </c>
      <c r="C115" s="23">
        <f t="shared" si="6"/>
        <v>83.932803688730729</v>
      </c>
      <c r="D115" s="23">
        <f t="shared" si="4"/>
        <v>24.040306599060127</v>
      </c>
      <c r="E115" s="31">
        <f t="shared" si="7"/>
        <v>19280.178721970802</v>
      </c>
    </row>
    <row r="116" spans="1:5" s="22" customFormat="1" x14ac:dyDescent="0.2">
      <c r="A116" s="22">
        <v>99</v>
      </c>
      <c r="B116" s="23">
        <f t="shared" si="5"/>
        <v>107.97311028779086</v>
      </c>
      <c r="C116" s="23">
        <f t="shared" si="6"/>
        <v>84.037005233517448</v>
      </c>
      <c r="D116" s="23">
        <f t="shared" si="4"/>
        <v>23.936105054273419</v>
      </c>
      <c r="E116" s="31">
        <f t="shared" si="7"/>
        <v>19196.141716737286</v>
      </c>
    </row>
    <row r="117" spans="1:5" s="22" customFormat="1" x14ac:dyDescent="0.2">
      <c r="A117" s="22">
        <v>100</v>
      </c>
      <c r="B117" s="23">
        <f t="shared" si="5"/>
        <v>107.97311028779086</v>
      </c>
      <c r="C117" s="23">
        <f t="shared" si="6"/>
        <v>84.141336143242029</v>
      </c>
      <c r="D117" s="23">
        <f t="shared" si="4"/>
        <v>23.831774144548827</v>
      </c>
      <c r="E117" s="31">
        <f t="shared" si="7"/>
        <v>19112.000380594043</v>
      </c>
    </row>
    <row r="118" spans="1:5" s="22" customFormat="1" x14ac:dyDescent="0.2">
      <c r="A118" s="22">
        <v>101</v>
      </c>
      <c r="B118" s="23">
        <f t="shared" si="5"/>
        <v>107.97311028779086</v>
      </c>
      <c r="C118" s="23">
        <f t="shared" si="6"/>
        <v>84.245796578509498</v>
      </c>
      <c r="D118" s="23">
        <f t="shared" si="4"/>
        <v>23.727313709281361</v>
      </c>
      <c r="E118" s="31">
        <f t="shared" si="7"/>
        <v>19027.754584015533</v>
      </c>
    </row>
    <row r="119" spans="1:5" s="22" customFormat="1" x14ac:dyDescent="0.2">
      <c r="A119" s="22">
        <v>102</v>
      </c>
      <c r="B119" s="23">
        <f t="shared" si="5"/>
        <v>107.97311028779086</v>
      </c>
      <c r="C119" s="23">
        <f t="shared" si="6"/>
        <v>84.350386700124204</v>
      </c>
      <c r="D119" s="23">
        <f t="shared" si="4"/>
        <v>23.622723587666655</v>
      </c>
      <c r="E119" s="31">
        <f t="shared" si="7"/>
        <v>18943.404197315409</v>
      </c>
    </row>
    <row r="120" spans="1:5" s="22" customFormat="1" x14ac:dyDescent="0.2">
      <c r="A120" s="22">
        <v>103</v>
      </c>
      <c r="B120" s="23">
        <f t="shared" si="5"/>
        <v>107.97311028779086</v>
      </c>
      <c r="C120" s="23">
        <f t="shared" si="6"/>
        <v>84.455106669090156</v>
      </c>
      <c r="D120" s="23">
        <f t="shared" si="4"/>
        <v>23.518003618700707</v>
      </c>
      <c r="E120" s="31">
        <f t="shared" si="7"/>
        <v>18858.949090646318</v>
      </c>
    </row>
    <row r="121" spans="1:5" s="22" customFormat="1" x14ac:dyDescent="0.2">
      <c r="A121" s="22">
        <v>104</v>
      </c>
      <c r="B121" s="23">
        <f t="shared" si="5"/>
        <v>107.97311028779086</v>
      </c>
      <c r="C121" s="23">
        <f t="shared" si="6"/>
        <v>84.559956646611241</v>
      </c>
      <c r="D121" s="23">
        <f t="shared" si="4"/>
        <v>23.413153641179616</v>
      </c>
      <c r="E121" s="31">
        <f t="shared" si="7"/>
        <v>18774.389133999706</v>
      </c>
    </row>
    <row r="122" spans="1:5" s="22" customFormat="1" x14ac:dyDescent="0.2">
      <c r="A122" s="22">
        <v>105</v>
      </c>
      <c r="B122" s="23">
        <f t="shared" si="5"/>
        <v>107.97311028779086</v>
      </c>
      <c r="C122" s="23">
        <f t="shared" si="6"/>
        <v>84.664936794091489</v>
      </c>
      <c r="D122" s="23">
        <f t="shared" si="4"/>
        <v>23.308173493699364</v>
      </c>
      <c r="E122" s="31">
        <f t="shared" si="7"/>
        <v>18689.724197205614</v>
      </c>
    </row>
    <row r="123" spans="1:5" s="22" customFormat="1" x14ac:dyDescent="0.2">
      <c r="A123" s="22">
        <v>106</v>
      </c>
      <c r="B123" s="23">
        <f t="shared" si="5"/>
        <v>107.97311028779086</v>
      </c>
      <c r="C123" s="23">
        <f t="shared" si="6"/>
        <v>84.770047273135319</v>
      </c>
      <c r="D123" s="23">
        <f t="shared" si="4"/>
        <v>23.203063014655545</v>
      </c>
      <c r="E123" s="31">
        <f t="shared" si="7"/>
        <v>18604.954149932481</v>
      </c>
    </row>
    <row r="124" spans="1:5" s="22" customFormat="1" x14ac:dyDescent="0.2">
      <c r="A124" s="22">
        <v>107</v>
      </c>
      <c r="B124" s="23">
        <f t="shared" si="5"/>
        <v>107.97311028779086</v>
      </c>
      <c r="C124" s="23">
        <f t="shared" si="6"/>
        <v>84.875288245547736</v>
      </c>
      <c r="D124" s="23">
        <f t="shared" si="4"/>
        <v>23.097822042243127</v>
      </c>
      <c r="E124" s="31">
        <f t="shared" si="7"/>
        <v>18520.078861686932</v>
      </c>
    </row>
    <row r="125" spans="1:5" s="22" customFormat="1" x14ac:dyDescent="0.2">
      <c r="A125" s="22">
        <v>108</v>
      </c>
      <c r="B125" s="23">
        <f t="shared" si="5"/>
        <v>107.97311028779086</v>
      </c>
      <c r="C125" s="23">
        <f t="shared" si="6"/>
        <v>84.980659873334673</v>
      </c>
      <c r="D125" s="23">
        <f t="shared" si="4"/>
        <v>22.992450414456187</v>
      </c>
      <c r="E125" s="31">
        <f t="shared" si="7"/>
        <v>18435.098201813598</v>
      </c>
    </row>
    <row r="126" spans="1:5" s="22" customFormat="1" x14ac:dyDescent="0.2">
      <c r="A126" s="22">
        <v>109</v>
      </c>
      <c r="B126" s="23">
        <f t="shared" si="5"/>
        <v>107.97311028779086</v>
      </c>
      <c r="C126" s="23">
        <f t="shared" si="6"/>
        <v>85.086162318703174</v>
      </c>
      <c r="D126" s="23">
        <f t="shared" si="4"/>
        <v>22.886947969087689</v>
      </c>
      <c r="E126" s="31">
        <f t="shared" si="7"/>
        <v>18350.012039494894</v>
      </c>
    </row>
    <row r="127" spans="1:5" s="22" customFormat="1" x14ac:dyDescent="0.2">
      <c r="A127" s="22">
        <v>110</v>
      </c>
      <c r="B127" s="23">
        <f t="shared" si="5"/>
        <v>107.97311028779086</v>
      </c>
      <c r="C127" s="23">
        <f t="shared" si="6"/>
        <v>85.19179574406165</v>
      </c>
      <c r="D127" s="23">
        <f t="shared" si="4"/>
        <v>22.781314543729206</v>
      </c>
      <c r="E127" s="31">
        <f t="shared" si="7"/>
        <v>18264.820243750833</v>
      </c>
    </row>
    <row r="128" spans="1:5" s="22" customFormat="1" x14ac:dyDescent="0.2">
      <c r="A128" s="22">
        <v>111</v>
      </c>
      <c r="B128" s="23">
        <f t="shared" si="5"/>
        <v>107.97311028779086</v>
      </c>
      <c r="C128" s="23">
        <f t="shared" si="6"/>
        <v>85.297560312020153</v>
      </c>
      <c r="D128" s="23">
        <f t="shared" si="4"/>
        <v>22.6755499757707</v>
      </c>
      <c r="E128" s="31">
        <f t="shared" si="7"/>
        <v>18179.522683438812</v>
      </c>
    </row>
    <row r="129" spans="1:5" s="22" customFormat="1" x14ac:dyDescent="0.2">
      <c r="A129" s="22">
        <v>112</v>
      </c>
      <c r="B129" s="23">
        <f t="shared" si="5"/>
        <v>107.97311028779086</v>
      </c>
      <c r="C129" s="23">
        <f t="shared" si="6"/>
        <v>85.403456185390624</v>
      </c>
      <c r="D129" s="23">
        <f t="shared" si="4"/>
        <v>22.569654102400236</v>
      </c>
      <c r="E129" s="31">
        <f t="shared" si="7"/>
        <v>18094.119227253421</v>
      </c>
    </row>
    <row r="130" spans="1:5" s="22" customFormat="1" x14ac:dyDescent="0.2">
      <c r="A130" s="22">
        <v>113</v>
      </c>
      <c r="B130" s="23">
        <f t="shared" si="5"/>
        <v>107.97311028779086</v>
      </c>
      <c r="C130" s="23">
        <f t="shared" si="6"/>
        <v>85.509483527187101</v>
      </c>
      <c r="D130" s="23">
        <f t="shared" si="4"/>
        <v>22.463626760603759</v>
      </c>
      <c r="E130" s="31">
        <f t="shared" si="7"/>
        <v>18008.609743726232</v>
      </c>
    </row>
    <row r="131" spans="1:5" s="22" customFormat="1" x14ac:dyDescent="0.2">
      <c r="A131" s="22">
        <v>114</v>
      </c>
      <c r="B131" s="23">
        <f t="shared" si="5"/>
        <v>107.97311028779086</v>
      </c>
      <c r="C131" s="23">
        <f t="shared" si="6"/>
        <v>85.615642500626024</v>
      </c>
      <c r="D131" s="23">
        <f t="shared" si="4"/>
        <v>22.357467787164833</v>
      </c>
      <c r="E131" s="31">
        <f t="shared" si="7"/>
        <v>17922.994101225606</v>
      </c>
    </row>
    <row r="132" spans="1:5" s="22" customFormat="1" x14ac:dyDescent="0.2">
      <c r="A132" s="22">
        <v>115</v>
      </c>
      <c r="B132" s="23">
        <f t="shared" si="5"/>
        <v>107.97311028779086</v>
      </c>
      <c r="C132" s="23">
        <f t="shared" si="6"/>
        <v>85.721933269126467</v>
      </c>
      <c r="D132" s="23">
        <f t="shared" si="4"/>
        <v>22.251177018664393</v>
      </c>
      <c r="E132" s="31">
        <f t="shared" si="7"/>
        <v>17837.272167956478</v>
      </c>
    </row>
    <row r="133" spans="1:5" s="22" customFormat="1" x14ac:dyDescent="0.2">
      <c r="A133" s="22">
        <v>116</v>
      </c>
      <c r="B133" s="23">
        <f t="shared" si="5"/>
        <v>107.97311028779086</v>
      </c>
      <c r="C133" s="23">
        <f t="shared" si="6"/>
        <v>85.828355996310378</v>
      </c>
      <c r="D133" s="23">
        <f t="shared" si="4"/>
        <v>22.144754291480485</v>
      </c>
      <c r="E133" s="31">
        <f t="shared" si="7"/>
        <v>17751.443811960169</v>
      </c>
    </row>
    <row r="134" spans="1:5" s="22" customFormat="1" x14ac:dyDescent="0.2">
      <c r="A134" s="22">
        <v>117</v>
      </c>
      <c r="B134" s="23">
        <f t="shared" si="5"/>
        <v>107.97311028779086</v>
      </c>
      <c r="C134" s="23">
        <f t="shared" si="6"/>
        <v>85.934910846002822</v>
      </c>
      <c r="D134" s="23">
        <f t="shared" si="4"/>
        <v>22.038199441788031</v>
      </c>
      <c r="E134" s="31">
        <f t="shared" si="7"/>
        <v>17665.508901114168</v>
      </c>
    </row>
    <row r="135" spans="1:5" s="22" customFormat="1" x14ac:dyDescent="0.2">
      <c r="A135" s="22">
        <v>118</v>
      </c>
      <c r="B135" s="23">
        <f t="shared" si="5"/>
        <v>107.97311028779086</v>
      </c>
      <c r="C135" s="23">
        <f t="shared" si="6"/>
        <v>86.041597982232304</v>
      </c>
      <c r="D135" s="23">
        <f t="shared" si="4"/>
        <v>21.931512305558559</v>
      </c>
      <c r="E135" s="31">
        <f t="shared" si="7"/>
        <v>17579.467303131936</v>
      </c>
    </row>
    <row r="136" spans="1:5" s="22" customFormat="1" x14ac:dyDescent="0.2">
      <c r="A136" s="22">
        <v>119</v>
      </c>
      <c r="B136" s="23">
        <f t="shared" si="5"/>
        <v>107.97311028779086</v>
      </c>
      <c r="C136" s="23">
        <f t="shared" si="6"/>
        <v>86.148417569230901</v>
      </c>
      <c r="D136" s="23">
        <f t="shared" si="4"/>
        <v>21.824692718559952</v>
      </c>
      <c r="E136" s="31">
        <f t="shared" si="7"/>
        <v>17493.318885562705</v>
      </c>
    </row>
    <row r="137" spans="1:5" s="22" customFormat="1" x14ac:dyDescent="0.2">
      <c r="A137" s="22">
        <v>120</v>
      </c>
      <c r="B137" s="23">
        <f t="shared" si="5"/>
        <v>107.97311028779086</v>
      </c>
      <c r="C137" s="23">
        <f t="shared" si="6"/>
        <v>86.255369771434658</v>
      </c>
      <c r="D137" s="23">
        <f t="shared" si="4"/>
        <v>21.717740516356209</v>
      </c>
      <c r="E137" s="31">
        <f t="shared" si="7"/>
        <v>17407.063515791269</v>
      </c>
    </row>
    <row r="138" spans="1:5" s="22" customFormat="1" x14ac:dyDescent="0.2">
      <c r="A138" s="22">
        <v>121</v>
      </c>
      <c r="B138" s="23">
        <f t="shared" si="5"/>
        <v>107.97311028779086</v>
      </c>
      <c r="C138" s="23">
        <f t="shared" si="6"/>
        <v>86.362454753483675</v>
      </c>
      <c r="D138" s="23">
        <f t="shared" si="4"/>
        <v>21.610655534307181</v>
      </c>
      <c r="E138" s="31">
        <f t="shared" si="7"/>
        <v>17320.701061037787</v>
      </c>
    </row>
    <row r="139" spans="1:5" s="22" customFormat="1" x14ac:dyDescent="0.2">
      <c r="A139" s="22">
        <v>122</v>
      </c>
      <c r="B139" s="23">
        <f t="shared" si="5"/>
        <v>107.97311028779086</v>
      </c>
      <c r="C139" s="23">
        <f t="shared" si="6"/>
        <v>86.46967268022253</v>
      </c>
      <c r="D139" s="23">
        <f t="shared" si="4"/>
        <v>21.503437607568326</v>
      </c>
      <c r="E139" s="31">
        <f t="shared" si="7"/>
        <v>17234.231388357566</v>
      </c>
    </row>
    <row r="140" spans="1:5" s="22" customFormat="1" x14ac:dyDescent="0.2">
      <c r="A140" s="22">
        <v>123</v>
      </c>
      <c r="B140" s="23">
        <f t="shared" si="5"/>
        <v>107.97311028779086</v>
      </c>
      <c r="C140" s="23">
        <f t="shared" si="6"/>
        <v>86.57702371670041</v>
      </c>
      <c r="D140" s="23">
        <f t="shared" si="4"/>
        <v>21.396086571090443</v>
      </c>
      <c r="E140" s="31">
        <f t="shared" si="7"/>
        <v>17147.654364640865</v>
      </c>
    </row>
    <row r="141" spans="1:5" s="22" customFormat="1" x14ac:dyDescent="0.2">
      <c r="A141" s="22">
        <v>124</v>
      </c>
      <c r="B141" s="23">
        <f t="shared" si="5"/>
        <v>107.97311028779086</v>
      </c>
      <c r="C141" s="23">
        <f t="shared" si="6"/>
        <v>86.684508028171436</v>
      </c>
      <c r="D141" s="23">
        <f t="shared" si="4"/>
        <v>21.28860225961942</v>
      </c>
      <c r="E141" s="31">
        <f t="shared" si="7"/>
        <v>17060.969856612694</v>
      </c>
    </row>
    <row r="142" spans="1:5" s="22" customFormat="1" x14ac:dyDescent="0.2">
      <c r="A142" s="22">
        <v>125</v>
      </c>
      <c r="B142" s="23">
        <f t="shared" si="5"/>
        <v>107.97311028779086</v>
      </c>
      <c r="C142" s="23">
        <f t="shared" si="6"/>
        <v>86.792125780094864</v>
      </c>
      <c r="D142" s="23">
        <f t="shared" si="4"/>
        <v>21.180984507695996</v>
      </c>
      <c r="E142" s="31">
        <f t="shared" si="7"/>
        <v>16974.177730832598</v>
      </c>
    </row>
    <row r="143" spans="1:5" s="22" customFormat="1" x14ac:dyDescent="0.2">
      <c r="A143" s="22">
        <v>126</v>
      </c>
      <c r="B143" s="23">
        <f t="shared" si="5"/>
        <v>107.97311028779086</v>
      </c>
      <c r="C143" s="23">
        <f t="shared" si="6"/>
        <v>86.899877138135366</v>
      </c>
      <c r="D143" s="23">
        <f t="shared" si="4"/>
        <v>21.073233149655486</v>
      </c>
      <c r="E143" s="31">
        <f t="shared" si="7"/>
        <v>16887.277853694464</v>
      </c>
    </row>
    <row r="144" spans="1:5" s="22" customFormat="1" x14ac:dyDescent="0.2">
      <c r="A144" s="22">
        <v>127</v>
      </c>
      <c r="B144" s="23">
        <f t="shared" si="5"/>
        <v>107.97311028779086</v>
      </c>
      <c r="C144" s="23">
        <f t="shared" si="6"/>
        <v>87.007762268163319</v>
      </c>
      <c r="D144" s="23">
        <f t="shared" si="4"/>
        <v>20.965348019627545</v>
      </c>
      <c r="E144" s="31">
        <f t="shared" si="7"/>
        <v>16800.2700914263</v>
      </c>
    </row>
    <row r="145" spans="1:5" s="22" customFormat="1" x14ac:dyDescent="0.2">
      <c r="A145" s="22">
        <v>128</v>
      </c>
      <c r="B145" s="23">
        <f t="shared" si="5"/>
        <v>107.97311028779086</v>
      </c>
      <c r="C145" s="23">
        <f t="shared" si="6"/>
        <v>87.115781336254983</v>
      </c>
      <c r="D145" s="23">
        <f t="shared" si="4"/>
        <v>20.85732895153588</v>
      </c>
      <c r="E145" s="31">
        <f t="shared" si="7"/>
        <v>16713.154310090045</v>
      </c>
    </row>
    <row r="146" spans="1:5" s="22" customFormat="1" x14ac:dyDescent="0.2">
      <c r="A146" s="22">
        <v>129</v>
      </c>
      <c r="B146" s="23">
        <f t="shared" si="5"/>
        <v>107.97311028779086</v>
      </c>
      <c r="C146" s="23">
        <f t="shared" si="6"/>
        <v>87.223934508692821</v>
      </c>
      <c r="D146" s="23">
        <f t="shared" ref="D146:D209" si="8">E145*B$7</f>
        <v>20.749175779098039</v>
      </c>
      <c r="E146" s="31">
        <f t="shared" si="7"/>
        <v>16625.930375581353</v>
      </c>
    </row>
    <row r="147" spans="1:5" s="22" customFormat="1" x14ac:dyDescent="0.2">
      <c r="A147" s="22">
        <v>130</v>
      </c>
      <c r="B147" s="23">
        <f t="shared" ref="B147:B210" si="9">B$9</f>
        <v>107.97311028779086</v>
      </c>
      <c r="C147" s="23">
        <f t="shared" ref="C147:C210" si="10">B147-D147</f>
        <v>87.332221951965735</v>
      </c>
      <c r="D147" s="23">
        <f t="shared" si="8"/>
        <v>20.640888335825121</v>
      </c>
      <c r="E147" s="31">
        <f t="shared" ref="E147:E210" si="11">E146-C147</f>
        <v>16538.598153629388</v>
      </c>
    </row>
    <row r="148" spans="1:5" s="22" customFormat="1" x14ac:dyDescent="0.2">
      <c r="A148" s="22">
        <v>131</v>
      </c>
      <c r="B148" s="23">
        <f t="shared" si="9"/>
        <v>107.97311028779086</v>
      </c>
      <c r="C148" s="23">
        <f t="shared" si="10"/>
        <v>87.440643832769325</v>
      </c>
      <c r="D148" s="23">
        <f t="shared" si="8"/>
        <v>20.532466455021535</v>
      </c>
      <c r="E148" s="31">
        <f t="shared" si="11"/>
        <v>16451.15750979662</v>
      </c>
    </row>
    <row r="149" spans="1:5" s="22" customFormat="1" x14ac:dyDescent="0.2">
      <c r="A149" s="22">
        <v>132</v>
      </c>
      <c r="B149" s="23">
        <f t="shared" si="9"/>
        <v>107.97311028779086</v>
      </c>
      <c r="C149" s="23">
        <f t="shared" si="10"/>
        <v>87.549200318006115</v>
      </c>
      <c r="D149" s="23">
        <f t="shared" si="8"/>
        <v>20.423909969784738</v>
      </c>
      <c r="E149" s="31">
        <f t="shared" si="11"/>
        <v>16363.608309478614</v>
      </c>
    </row>
    <row r="150" spans="1:5" s="22" customFormat="1" x14ac:dyDescent="0.2">
      <c r="A150" s="22">
        <v>133</v>
      </c>
      <c r="B150" s="23">
        <f t="shared" si="9"/>
        <v>107.97311028779086</v>
      </c>
      <c r="C150" s="23">
        <f t="shared" si="10"/>
        <v>87.657891574785879</v>
      </c>
      <c r="D150" s="23">
        <f t="shared" si="8"/>
        <v>20.315218713004974</v>
      </c>
      <c r="E150" s="31">
        <f t="shared" si="11"/>
        <v>16275.950417903829</v>
      </c>
    </row>
    <row r="151" spans="1:5" s="22" customFormat="1" x14ac:dyDescent="0.2">
      <c r="A151" s="22">
        <v>134</v>
      </c>
      <c r="B151" s="23">
        <f t="shared" si="9"/>
        <v>107.97311028779086</v>
      </c>
      <c r="C151" s="23">
        <f t="shared" si="10"/>
        <v>87.766717770425828</v>
      </c>
      <c r="D151" s="23">
        <f t="shared" si="8"/>
        <v>20.206392517365035</v>
      </c>
      <c r="E151" s="31">
        <f t="shared" si="11"/>
        <v>16188.183700133402</v>
      </c>
    </row>
    <row r="152" spans="1:5" s="22" customFormat="1" x14ac:dyDescent="0.2">
      <c r="A152" s="22">
        <v>135</v>
      </c>
      <c r="B152" s="23">
        <f t="shared" si="9"/>
        <v>107.97311028779086</v>
      </c>
      <c r="C152" s="23">
        <f t="shared" si="10"/>
        <v>87.875679072450879</v>
      </c>
      <c r="D152" s="23">
        <f t="shared" si="8"/>
        <v>20.097431215339984</v>
      </c>
      <c r="E152" s="31">
        <f t="shared" si="11"/>
        <v>16100.308021060951</v>
      </c>
    </row>
    <row r="153" spans="1:5" s="22" customFormat="1" x14ac:dyDescent="0.2">
      <c r="A153" s="22">
        <v>136</v>
      </c>
      <c r="B153" s="23">
        <f t="shared" si="9"/>
        <v>107.97311028779086</v>
      </c>
      <c r="C153" s="23">
        <f t="shared" si="10"/>
        <v>87.984775648593967</v>
      </c>
      <c r="D153" s="23">
        <f t="shared" si="8"/>
        <v>19.988334639196896</v>
      </c>
      <c r="E153" s="31">
        <f t="shared" si="11"/>
        <v>16012.323245412357</v>
      </c>
    </row>
    <row r="154" spans="1:5" s="22" customFormat="1" x14ac:dyDescent="0.2">
      <c r="A154" s="22">
        <v>137</v>
      </c>
      <c r="B154" s="23">
        <f t="shared" si="9"/>
        <v>107.97311028779086</v>
      </c>
      <c r="C154" s="23">
        <f t="shared" si="10"/>
        <v>88.094007666796244</v>
      </c>
      <c r="D154" s="23">
        <f t="shared" si="8"/>
        <v>19.879102620994622</v>
      </c>
      <c r="E154" s="31">
        <f t="shared" si="11"/>
        <v>15924.229237745561</v>
      </c>
    </row>
    <row r="155" spans="1:5" s="22" customFormat="1" x14ac:dyDescent="0.2">
      <c r="A155" s="22">
        <v>138</v>
      </c>
      <c r="B155" s="23">
        <f t="shared" si="9"/>
        <v>107.97311028779086</v>
      </c>
      <c r="C155" s="23">
        <f t="shared" si="10"/>
        <v>88.203375295207351</v>
      </c>
      <c r="D155" s="23">
        <f t="shared" si="8"/>
        <v>19.769734992583505</v>
      </c>
      <c r="E155" s="31">
        <f t="shared" si="11"/>
        <v>15836.025862450355</v>
      </c>
    </row>
    <row r="156" spans="1:5" s="22" customFormat="1" x14ac:dyDescent="0.2">
      <c r="A156" s="22">
        <v>139</v>
      </c>
      <c r="B156" s="23">
        <f t="shared" si="9"/>
        <v>107.97311028779086</v>
      </c>
      <c r="C156" s="23">
        <f t="shared" si="10"/>
        <v>88.312878702185714</v>
      </c>
      <c r="D156" s="23">
        <f t="shared" si="8"/>
        <v>19.660231585605143</v>
      </c>
      <c r="E156" s="31">
        <f t="shared" si="11"/>
        <v>15747.71298374817</v>
      </c>
    </row>
    <row r="157" spans="1:5" s="22" customFormat="1" x14ac:dyDescent="0.2">
      <c r="A157" s="22">
        <v>140</v>
      </c>
      <c r="B157" s="23">
        <f t="shared" si="9"/>
        <v>107.97311028779086</v>
      </c>
      <c r="C157" s="23">
        <f t="shared" si="10"/>
        <v>88.422518056298756</v>
      </c>
      <c r="D157" s="23">
        <f t="shared" si="8"/>
        <v>19.550592231492104</v>
      </c>
      <c r="E157" s="31">
        <f t="shared" si="11"/>
        <v>15659.290465691871</v>
      </c>
    </row>
    <row r="158" spans="1:5" s="22" customFormat="1" x14ac:dyDescent="0.2">
      <c r="A158" s="22">
        <v>141</v>
      </c>
      <c r="B158" s="23">
        <f t="shared" si="9"/>
        <v>107.97311028779086</v>
      </c>
      <c r="C158" s="23">
        <f t="shared" si="10"/>
        <v>88.532293526323173</v>
      </c>
      <c r="D158" s="23">
        <f t="shared" si="8"/>
        <v>19.440816761467694</v>
      </c>
      <c r="E158" s="31">
        <f t="shared" si="11"/>
        <v>15570.758172165548</v>
      </c>
    </row>
    <row r="159" spans="1:5" s="22" customFormat="1" x14ac:dyDescent="0.2">
      <c r="A159" s="22">
        <v>142</v>
      </c>
      <c r="B159" s="23">
        <f t="shared" si="9"/>
        <v>107.97311028779086</v>
      </c>
      <c r="C159" s="23">
        <f t="shared" si="10"/>
        <v>88.642205281245168</v>
      </c>
      <c r="D159" s="23">
        <f t="shared" si="8"/>
        <v>19.330905006545684</v>
      </c>
      <c r="E159" s="31">
        <f t="shared" si="11"/>
        <v>15482.115966884303</v>
      </c>
    </row>
    <row r="160" spans="1:5" s="22" customFormat="1" x14ac:dyDescent="0.2">
      <c r="A160" s="22">
        <v>143</v>
      </c>
      <c r="B160" s="23">
        <f t="shared" si="9"/>
        <v>107.97311028779086</v>
      </c>
      <c r="C160" s="23">
        <f t="shared" si="10"/>
        <v>88.752253490260813</v>
      </c>
      <c r="D160" s="23">
        <f t="shared" si="8"/>
        <v>19.220856797530043</v>
      </c>
      <c r="E160" s="31">
        <f t="shared" si="11"/>
        <v>15393.363713394043</v>
      </c>
    </row>
    <row r="161" spans="1:5" s="22" customFormat="1" x14ac:dyDescent="0.2">
      <c r="A161" s="22">
        <v>144</v>
      </c>
      <c r="B161" s="23">
        <f t="shared" si="9"/>
        <v>107.97311028779086</v>
      </c>
      <c r="C161" s="23">
        <f t="shared" si="10"/>
        <v>88.862438322776171</v>
      </c>
      <c r="D161" s="23">
        <f t="shared" si="8"/>
        <v>19.110671965014692</v>
      </c>
      <c r="E161" s="31">
        <f t="shared" si="11"/>
        <v>15304.501275071267</v>
      </c>
    </row>
    <row r="162" spans="1:5" s="22" customFormat="1" x14ac:dyDescent="0.2">
      <c r="A162" s="22">
        <v>145</v>
      </c>
      <c r="B162" s="23">
        <f t="shared" si="9"/>
        <v>107.97311028779086</v>
      </c>
      <c r="C162" s="23">
        <f t="shared" si="10"/>
        <v>88.972759948407628</v>
      </c>
      <c r="D162" s="23">
        <f t="shared" si="8"/>
        <v>19.000350339383235</v>
      </c>
      <c r="E162" s="31">
        <f t="shared" si="11"/>
        <v>15215.52851512286</v>
      </c>
    </row>
    <row r="163" spans="1:5" s="22" customFormat="1" x14ac:dyDescent="0.2">
      <c r="A163" s="22">
        <v>146</v>
      </c>
      <c r="B163" s="23">
        <f t="shared" si="9"/>
        <v>107.97311028779086</v>
      </c>
      <c r="C163" s="23">
        <f t="shared" si="10"/>
        <v>89.083218536982159</v>
      </c>
      <c r="D163" s="23">
        <f t="shared" si="8"/>
        <v>18.889891750808697</v>
      </c>
      <c r="E163" s="31">
        <f t="shared" si="11"/>
        <v>15126.445296585878</v>
      </c>
    </row>
    <row r="164" spans="1:5" s="22" customFormat="1" x14ac:dyDescent="0.2">
      <c r="A164" s="22">
        <v>147</v>
      </c>
      <c r="B164" s="23">
        <f t="shared" si="9"/>
        <v>107.97311028779086</v>
      </c>
      <c r="C164" s="23">
        <f t="shared" si="10"/>
        <v>89.1938142585376</v>
      </c>
      <c r="D164" s="23">
        <f t="shared" si="8"/>
        <v>18.779296029253267</v>
      </c>
      <c r="E164" s="31">
        <f t="shared" si="11"/>
        <v>15037.251482327341</v>
      </c>
    </row>
    <row r="165" spans="1:5" s="22" customFormat="1" x14ac:dyDescent="0.2">
      <c r="A165" s="22">
        <v>148</v>
      </c>
      <c r="B165" s="23">
        <f t="shared" si="9"/>
        <v>107.97311028779086</v>
      </c>
      <c r="C165" s="23">
        <f t="shared" si="10"/>
        <v>89.304547283322819</v>
      </c>
      <c r="D165" s="23">
        <f t="shared" si="8"/>
        <v>18.668563004468037</v>
      </c>
      <c r="E165" s="31">
        <f t="shared" si="11"/>
        <v>14947.946935044018</v>
      </c>
    </row>
    <row r="166" spans="1:5" s="22" customFormat="1" x14ac:dyDescent="0.2">
      <c r="A166" s="22">
        <v>149</v>
      </c>
      <c r="B166" s="23">
        <f t="shared" si="9"/>
        <v>107.97311028779086</v>
      </c>
      <c r="C166" s="23">
        <f t="shared" si="10"/>
        <v>89.415417781798141</v>
      </c>
      <c r="D166" s="23">
        <f t="shared" si="8"/>
        <v>18.557692505992726</v>
      </c>
      <c r="E166" s="31">
        <f t="shared" si="11"/>
        <v>14858.531517262219</v>
      </c>
    </row>
    <row r="167" spans="1:5" s="22" customFormat="1" x14ac:dyDescent="0.2">
      <c r="A167" s="22">
        <v>150</v>
      </c>
      <c r="B167" s="23">
        <f t="shared" si="9"/>
        <v>107.97311028779086</v>
      </c>
      <c r="C167" s="23">
        <f t="shared" si="10"/>
        <v>89.526425924635419</v>
      </c>
      <c r="D167" s="23">
        <f t="shared" si="8"/>
        <v>18.446684363155445</v>
      </c>
      <c r="E167" s="31">
        <f t="shared" si="11"/>
        <v>14769.005091337584</v>
      </c>
    </row>
    <row r="168" spans="1:5" s="22" customFormat="1" x14ac:dyDescent="0.2">
      <c r="A168" s="22">
        <v>151</v>
      </c>
      <c r="B168" s="23">
        <f t="shared" si="9"/>
        <v>107.97311028779086</v>
      </c>
      <c r="C168" s="23">
        <f t="shared" si="10"/>
        <v>89.637571882718461</v>
      </c>
      <c r="D168" s="23">
        <f t="shared" si="8"/>
        <v>18.335538405072402</v>
      </c>
      <c r="E168" s="31">
        <f t="shared" si="11"/>
        <v>14679.367519454865</v>
      </c>
    </row>
    <row r="169" spans="1:5" s="22" customFormat="1" x14ac:dyDescent="0.2">
      <c r="A169" s="22">
        <v>152</v>
      </c>
      <c r="B169" s="23">
        <f t="shared" si="9"/>
        <v>107.97311028779086</v>
      </c>
      <c r="C169" s="23">
        <f t="shared" si="10"/>
        <v>89.748855827143188</v>
      </c>
      <c r="D169" s="23">
        <f t="shared" si="8"/>
        <v>18.224254460647668</v>
      </c>
      <c r="E169" s="31">
        <f t="shared" si="11"/>
        <v>14589.618663627722</v>
      </c>
    </row>
    <row r="170" spans="1:5" s="22" customFormat="1" x14ac:dyDescent="0.2">
      <c r="A170" s="22">
        <v>153</v>
      </c>
      <c r="B170" s="23">
        <f t="shared" si="9"/>
        <v>107.97311028779086</v>
      </c>
      <c r="C170" s="23">
        <f t="shared" si="10"/>
        <v>89.860277929217972</v>
      </c>
      <c r="D170" s="23">
        <f t="shared" si="8"/>
        <v>18.112832358572895</v>
      </c>
      <c r="E170" s="31">
        <f t="shared" si="11"/>
        <v>14499.758385698504</v>
      </c>
    </row>
    <row r="171" spans="1:5" s="22" customFormat="1" x14ac:dyDescent="0.2">
      <c r="A171" s="22">
        <v>154</v>
      </c>
      <c r="B171" s="23">
        <f t="shared" si="9"/>
        <v>107.97311028779086</v>
      </c>
      <c r="C171" s="23">
        <f t="shared" si="10"/>
        <v>89.971838360463806</v>
      </c>
      <c r="D171" s="23">
        <f t="shared" si="8"/>
        <v>18.001271927327053</v>
      </c>
      <c r="E171" s="31">
        <f t="shared" si="11"/>
        <v>14409.786547338041</v>
      </c>
    </row>
    <row r="172" spans="1:5" s="22" customFormat="1" x14ac:dyDescent="0.2">
      <c r="A172" s="22">
        <v>155</v>
      </c>
      <c r="B172" s="23">
        <f t="shared" si="9"/>
        <v>107.97311028779086</v>
      </c>
      <c r="C172" s="23">
        <f t="shared" si="10"/>
        <v>90.083537292614679</v>
      </c>
      <c r="D172" s="23">
        <f t="shared" si="8"/>
        <v>17.889572995176177</v>
      </c>
      <c r="E172" s="31">
        <f t="shared" si="11"/>
        <v>14319.703010045427</v>
      </c>
    </row>
    <row r="173" spans="1:5" s="22" customFormat="1" x14ac:dyDescent="0.2">
      <c r="A173" s="22">
        <v>156</v>
      </c>
      <c r="B173" s="23">
        <f t="shared" si="9"/>
        <v>107.97311028779086</v>
      </c>
      <c r="C173" s="23">
        <f t="shared" si="10"/>
        <v>90.195374897617768</v>
      </c>
      <c r="D173" s="23">
        <f t="shared" si="8"/>
        <v>17.777735390173099</v>
      </c>
      <c r="E173" s="31">
        <f t="shared" si="11"/>
        <v>14229.507635147809</v>
      </c>
    </row>
    <row r="174" spans="1:5" s="22" customFormat="1" x14ac:dyDescent="0.2">
      <c r="A174" s="22">
        <v>157</v>
      </c>
      <c r="B174" s="23">
        <f t="shared" si="9"/>
        <v>107.97311028779086</v>
      </c>
      <c r="C174" s="23">
        <f t="shared" si="10"/>
        <v>90.307351347633698</v>
      </c>
      <c r="D174" s="23">
        <f t="shared" si="8"/>
        <v>17.665758940157168</v>
      </c>
      <c r="E174" s="31">
        <f t="shared" si="11"/>
        <v>14139.200283800175</v>
      </c>
    </row>
    <row r="175" spans="1:5" s="22" customFormat="1" x14ac:dyDescent="0.2">
      <c r="A175" s="22">
        <v>158</v>
      </c>
      <c r="B175" s="23">
        <f t="shared" si="9"/>
        <v>107.97311028779086</v>
      </c>
      <c r="C175" s="23">
        <f t="shared" si="10"/>
        <v>90.419466815036856</v>
      </c>
      <c r="D175" s="23">
        <f t="shared" si="8"/>
        <v>17.553643472754011</v>
      </c>
      <c r="E175" s="31">
        <f t="shared" si="11"/>
        <v>14048.780816985138</v>
      </c>
    </row>
    <row r="176" spans="1:5" s="22" customFormat="1" x14ac:dyDescent="0.2">
      <c r="A176" s="22">
        <v>159</v>
      </c>
      <c r="B176" s="23">
        <f t="shared" si="9"/>
        <v>107.97311028779086</v>
      </c>
      <c r="C176" s="23">
        <f t="shared" si="10"/>
        <v>90.531721472415612</v>
      </c>
      <c r="D176" s="23">
        <f t="shared" si="8"/>
        <v>17.441388815375248</v>
      </c>
      <c r="E176" s="31">
        <f t="shared" si="11"/>
        <v>13958.249095512721</v>
      </c>
    </row>
    <row r="177" spans="1:5" s="22" customFormat="1" x14ac:dyDescent="0.2">
      <c r="A177" s="22">
        <v>160</v>
      </c>
      <c r="B177" s="23">
        <f t="shared" si="9"/>
        <v>107.97311028779086</v>
      </c>
      <c r="C177" s="23">
        <f t="shared" si="10"/>
        <v>90.644115492572624</v>
      </c>
      <c r="D177" s="23">
        <f t="shared" si="8"/>
        <v>17.328994795218239</v>
      </c>
      <c r="E177" s="31">
        <f t="shared" si="11"/>
        <v>13867.604980020149</v>
      </c>
    </row>
    <row r="178" spans="1:5" s="22" customFormat="1" x14ac:dyDescent="0.2">
      <c r="A178" s="22">
        <v>161</v>
      </c>
      <c r="B178" s="23">
        <f t="shared" si="9"/>
        <v>107.97311028779086</v>
      </c>
      <c r="C178" s="23">
        <f t="shared" si="10"/>
        <v>90.756649048525063</v>
      </c>
      <c r="D178" s="23">
        <f t="shared" si="8"/>
        <v>17.216461239265801</v>
      </c>
      <c r="E178" s="31">
        <f t="shared" si="11"/>
        <v>13776.848330971625</v>
      </c>
    </row>
    <row r="179" spans="1:5" s="22" customFormat="1" x14ac:dyDescent="0.2">
      <c r="A179" s="22">
        <v>162</v>
      </c>
      <c r="B179" s="23">
        <f t="shared" si="9"/>
        <v>107.97311028779086</v>
      </c>
      <c r="C179" s="23">
        <f t="shared" si="10"/>
        <v>90.869322313504895</v>
      </c>
      <c r="D179" s="23">
        <f t="shared" si="8"/>
        <v>17.103787974285961</v>
      </c>
      <c r="E179" s="31">
        <f t="shared" si="11"/>
        <v>13685.97900865812</v>
      </c>
    </row>
    <row r="180" spans="1:5" s="22" customFormat="1" x14ac:dyDescent="0.2">
      <c r="A180" s="22">
        <v>163</v>
      </c>
      <c r="B180" s="23">
        <f t="shared" si="9"/>
        <v>107.97311028779086</v>
      </c>
      <c r="C180" s="23">
        <f t="shared" si="10"/>
        <v>90.982135460959185</v>
      </c>
      <c r="D180" s="23">
        <f t="shared" si="8"/>
        <v>16.990974826831671</v>
      </c>
      <c r="E180" s="31">
        <f t="shared" si="11"/>
        <v>13594.99687319716</v>
      </c>
    </row>
    <row r="181" spans="1:5" s="22" customFormat="1" x14ac:dyDescent="0.2">
      <c r="A181" s="22">
        <v>164</v>
      </c>
      <c r="B181" s="23">
        <f t="shared" si="9"/>
        <v>107.97311028779086</v>
      </c>
      <c r="C181" s="23">
        <f t="shared" si="10"/>
        <v>91.095088664550289</v>
      </c>
      <c r="D181" s="23">
        <f t="shared" si="8"/>
        <v>16.878021623240567</v>
      </c>
      <c r="E181" s="31">
        <f t="shared" si="11"/>
        <v>13503.901784532611</v>
      </c>
    </row>
    <row r="182" spans="1:5" s="22" customFormat="1" x14ac:dyDescent="0.2">
      <c r="A182" s="22">
        <v>165</v>
      </c>
      <c r="B182" s="23">
        <f t="shared" si="9"/>
        <v>107.97311028779086</v>
      </c>
      <c r="C182" s="23">
        <f t="shared" si="10"/>
        <v>91.208182098156186</v>
      </c>
      <c r="D182" s="23">
        <f t="shared" si="8"/>
        <v>16.76492818963467</v>
      </c>
      <c r="E182" s="31">
        <f t="shared" si="11"/>
        <v>13412.693602434454</v>
      </c>
    </row>
    <row r="183" spans="1:5" s="22" customFormat="1" x14ac:dyDescent="0.2">
      <c r="A183" s="22">
        <v>166</v>
      </c>
      <c r="B183" s="23">
        <f t="shared" si="9"/>
        <v>107.97311028779086</v>
      </c>
      <c r="C183" s="23">
        <f t="shared" si="10"/>
        <v>91.321415935870718</v>
      </c>
      <c r="D183" s="23">
        <f t="shared" si="8"/>
        <v>16.651694351920142</v>
      </c>
      <c r="E183" s="31">
        <f t="shared" si="11"/>
        <v>13321.372186498584</v>
      </c>
    </row>
    <row r="184" spans="1:5" s="22" customFormat="1" x14ac:dyDescent="0.2">
      <c r="A184" s="22">
        <v>167</v>
      </c>
      <c r="B184" s="23">
        <f t="shared" si="9"/>
        <v>107.97311028779086</v>
      </c>
      <c r="C184" s="23">
        <f t="shared" si="10"/>
        <v>91.434790352003859</v>
      </c>
      <c r="D184" s="23">
        <f t="shared" si="8"/>
        <v>16.538319935787005</v>
      </c>
      <c r="E184" s="31">
        <f t="shared" si="11"/>
        <v>13229.937396146579</v>
      </c>
    </row>
    <row r="185" spans="1:5" s="22" customFormat="1" x14ac:dyDescent="0.2">
      <c r="A185" s="22">
        <v>168</v>
      </c>
      <c r="B185" s="23">
        <f t="shared" si="9"/>
        <v>107.97311028779086</v>
      </c>
      <c r="C185" s="23">
        <f t="shared" si="10"/>
        <v>91.548305521081986</v>
      </c>
      <c r="D185" s="23">
        <f t="shared" si="8"/>
        <v>16.424804766708874</v>
      </c>
      <c r="E185" s="31">
        <f t="shared" si="11"/>
        <v>13138.389090625496</v>
      </c>
    </row>
    <row r="186" spans="1:5" s="22" customFormat="1" x14ac:dyDescent="0.2">
      <c r="A186" s="22">
        <v>169</v>
      </c>
      <c r="B186" s="23">
        <f t="shared" si="9"/>
        <v>107.97311028779086</v>
      </c>
      <c r="C186" s="23">
        <f t="shared" si="10"/>
        <v>91.661961617848149</v>
      </c>
      <c r="D186" s="23">
        <f t="shared" si="8"/>
        <v>16.311148669942707</v>
      </c>
      <c r="E186" s="31">
        <f t="shared" si="11"/>
        <v>13046.727129007648</v>
      </c>
    </row>
    <row r="187" spans="1:5" s="22" customFormat="1" x14ac:dyDescent="0.2">
      <c r="A187" s="22">
        <v>170</v>
      </c>
      <c r="B187" s="23">
        <f t="shared" si="9"/>
        <v>107.97311028779086</v>
      </c>
      <c r="C187" s="23">
        <f t="shared" si="10"/>
        <v>91.775758817262357</v>
      </c>
      <c r="D187" s="23">
        <f t="shared" si="8"/>
        <v>16.197351470528503</v>
      </c>
      <c r="E187" s="31">
        <f t="shared" si="11"/>
        <v>12954.951370190385</v>
      </c>
    </row>
    <row r="188" spans="1:5" s="22" customFormat="1" x14ac:dyDescent="0.2">
      <c r="A188" s="22">
        <v>171</v>
      </c>
      <c r="B188" s="23">
        <f t="shared" si="9"/>
        <v>107.97311028779086</v>
      </c>
      <c r="C188" s="23">
        <f t="shared" si="10"/>
        <v>91.889697294501801</v>
      </c>
      <c r="D188" s="23">
        <f t="shared" si="8"/>
        <v>16.083412993289059</v>
      </c>
      <c r="E188" s="31">
        <f t="shared" si="11"/>
        <v>12863.061672895883</v>
      </c>
    </row>
    <row r="189" spans="1:5" s="22" customFormat="1" x14ac:dyDescent="0.2">
      <c r="A189" s="22">
        <v>172</v>
      </c>
      <c r="B189" s="23">
        <f t="shared" si="9"/>
        <v>107.97311028779086</v>
      </c>
      <c r="C189" s="23">
        <f t="shared" si="10"/>
        <v>92.003777224961169</v>
      </c>
      <c r="D189" s="23">
        <f t="shared" si="8"/>
        <v>15.969333062829692</v>
      </c>
      <c r="E189" s="31">
        <f t="shared" si="11"/>
        <v>12771.057895670921</v>
      </c>
    </row>
    <row r="190" spans="1:5" s="22" customFormat="1" x14ac:dyDescent="0.2">
      <c r="A190" s="22">
        <v>173</v>
      </c>
      <c r="B190" s="23">
        <f t="shared" si="9"/>
        <v>107.97311028779086</v>
      </c>
      <c r="C190" s="23">
        <f t="shared" si="10"/>
        <v>92.11799878425289</v>
      </c>
      <c r="D190" s="23">
        <f t="shared" si="8"/>
        <v>15.855111503537968</v>
      </c>
      <c r="E190" s="31">
        <f t="shared" si="11"/>
        <v>12678.939896886668</v>
      </c>
    </row>
    <row r="191" spans="1:5" s="22" customFormat="1" x14ac:dyDescent="0.2">
      <c r="A191" s="22">
        <v>174</v>
      </c>
      <c r="B191" s="23">
        <f t="shared" si="9"/>
        <v>107.97311028779086</v>
      </c>
      <c r="C191" s="23">
        <f t="shared" si="10"/>
        <v>92.232362148207429</v>
      </c>
      <c r="D191" s="23">
        <f t="shared" si="8"/>
        <v>15.740748139583427</v>
      </c>
      <c r="E191" s="31">
        <f t="shared" si="11"/>
        <v>12586.70753473846</v>
      </c>
    </row>
    <row r="192" spans="1:5" s="22" customFormat="1" x14ac:dyDescent="0.2">
      <c r="A192" s="22">
        <v>175</v>
      </c>
      <c r="B192" s="23">
        <f t="shared" si="9"/>
        <v>107.97311028779086</v>
      </c>
      <c r="C192" s="23">
        <f t="shared" si="10"/>
        <v>92.346867492873528</v>
      </c>
      <c r="D192" s="23">
        <f t="shared" si="8"/>
        <v>15.626242794917326</v>
      </c>
      <c r="E192" s="31">
        <f t="shared" si="11"/>
        <v>12494.360667245586</v>
      </c>
    </row>
    <row r="193" spans="1:5" s="22" customFormat="1" x14ac:dyDescent="0.2">
      <c r="A193" s="22">
        <v>176</v>
      </c>
      <c r="B193" s="23">
        <f t="shared" si="9"/>
        <v>107.97311028779086</v>
      </c>
      <c r="C193" s="23">
        <f t="shared" si="10"/>
        <v>92.46151499451851</v>
      </c>
      <c r="D193" s="23">
        <f t="shared" si="8"/>
        <v>15.511595293272356</v>
      </c>
      <c r="E193" s="31">
        <f t="shared" si="11"/>
        <v>12401.899152251068</v>
      </c>
    </row>
    <row r="194" spans="1:5" s="22" customFormat="1" x14ac:dyDescent="0.2">
      <c r="A194" s="22">
        <v>177</v>
      </c>
      <c r="B194" s="23">
        <f t="shared" si="9"/>
        <v>107.97311028779086</v>
      </c>
      <c r="C194" s="23">
        <f t="shared" si="10"/>
        <v>92.576304829628498</v>
      </c>
      <c r="D194" s="23">
        <f t="shared" si="8"/>
        <v>15.396805458162369</v>
      </c>
      <c r="E194" s="31">
        <f t="shared" si="11"/>
        <v>12309.322847421439</v>
      </c>
    </row>
    <row r="195" spans="1:5" s="22" customFormat="1" x14ac:dyDescent="0.2">
      <c r="A195" s="22">
        <v>178</v>
      </c>
      <c r="B195" s="23">
        <f t="shared" si="9"/>
        <v>107.97311028779086</v>
      </c>
      <c r="C195" s="23">
        <f t="shared" si="10"/>
        <v>92.691237174908736</v>
      </c>
      <c r="D195" s="23">
        <f t="shared" si="8"/>
        <v>15.281873112882122</v>
      </c>
      <c r="E195" s="31">
        <f t="shared" si="11"/>
        <v>12216.63161024653</v>
      </c>
    </row>
    <row r="196" spans="1:5" s="22" customFormat="1" x14ac:dyDescent="0.2">
      <c r="A196" s="22">
        <v>179</v>
      </c>
      <c r="B196" s="23">
        <f t="shared" si="9"/>
        <v>107.97311028779086</v>
      </c>
      <c r="C196" s="23">
        <f t="shared" si="10"/>
        <v>92.806312207283867</v>
      </c>
      <c r="D196" s="23">
        <f t="shared" si="8"/>
        <v>15.166798080506986</v>
      </c>
      <c r="E196" s="31">
        <f t="shared" si="11"/>
        <v>12123.825298039246</v>
      </c>
    </row>
    <row r="197" spans="1:5" s="22" customFormat="1" x14ac:dyDescent="0.2">
      <c r="A197" s="22">
        <v>180</v>
      </c>
      <c r="B197" s="23">
        <f t="shared" si="9"/>
        <v>107.97311028779086</v>
      </c>
      <c r="C197" s="23">
        <f t="shared" si="10"/>
        <v>92.921530103898178</v>
      </c>
      <c r="D197" s="23">
        <f t="shared" si="8"/>
        <v>15.051580183892687</v>
      </c>
      <c r="E197" s="31">
        <f t="shared" si="11"/>
        <v>12030.903767935348</v>
      </c>
    </row>
    <row r="198" spans="1:5" s="22" customFormat="1" x14ac:dyDescent="0.2">
      <c r="A198" s="22">
        <v>181</v>
      </c>
      <c r="B198" s="23">
        <f t="shared" si="9"/>
        <v>107.97311028779086</v>
      </c>
      <c r="C198" s="23">
        <f t="shared" si="10"/>
        <v>93.03689104211584</v>
      </c>
      <c r="D198" s="23">
        <f t="shared" si="8"/>
        <v>14.936219245675025</v>
      </c>
      <c r="E198" s="31">
        <f t="shared" si="11"/>
        <v>11937.866876893231</v>
      </c>
    </row>
    <row r="199" spans="1:5" s="22" customFormat="1" x14ac:dyDescent="0.2">
      <c r="A199" s="22">
        <v>182</v>
      </c>
      <c r="B199" s="23">
        <f t="shared" si="9"/>
        <v>107.97311028779086</v>
      </c>
      <c r="C199" s="23">
        <f t="shared" si="10"/>
        <v>93.152395199521251</v>
      </c>
      <c r="D199" s="23">
        <f t="shared" si="8"/>
        <v>14.820715088269608</v>
      </c>
      <c r="E199" s="31">
        <f t="shared" si="11"/>
        <v>11844.714481693711</v>
      </c>
    </row>
    <row r="200" spans="1:5" s="22" customFormat="1" x14ac:dyDescent="0.2">
      <c r="A200" s="22">
        <v>183</v>
      </c>
      <c r="B200" s="23">
        <f t="shared" si="9"/>
        <v>107.97311028779086</v>
      </c>
      <c r="C200" s="23">
        <f t="shared" si="10"/>
        <v>93.268042753919289</v>
      </c>
      <c r="D200" s="23">
        <f t="shared" si="8"/>
        <v>14.705067533871576</v>
      </c>
      <c r="E200" s="31">
        <f t="shared" si="11"/>
        <v>11751.446438939791</v>
      </c>
    </row>
    <row r="201" spans="1:5" s="22" customFormat="1" x14ac:dyDescent="0.2">
      <c r="A201" s="22">
        <v>184</v>
      </c>
      <c r="B201" s="23">
        <f t="shared" si="9"/>
        <v>107.97311028779086</v>
      </c>
      <c r="C201" s="23">
        <f t="shared" si="10"/>
        <v>93.383833883335541</v>
      </c>
      <c r="D201" s="23">
        <f t="shared" si="8"/>
        <v>14.589276404455317</v>
      </c>
      <c r="E201" s="31">
        <f t="shared" si="11"/>
        <v>11658.062605056455</v>
      </c>
    </row>
    <row r="202" spans="1:5" s="22" customFormat="1" x14ac:dyDescent="0.2">
      <c r="A202" s="22">
        <v>185</v>
      </c>
      <c r="B202" s="23">
        <f t="shared" si="9"/>
        <v>107.97311028779086</v>
      </c>
      <c r="C202" s="23">
        <f t="shared" si="10"/>
        <v>93.499768766016643</v>
      </c>
      <c r="D202" s="23">
        <f t="shared" si="8"/>
        <v>14.473341521774216</v>
      </c>
      <c r="E202" s="31">
        <f t="shared" si="11"/>
        <v>11564.562836290439</v>
      </c>
    </row>
    <row r="203" spans="1:5" s="22" customFormat="1" x14ac:dyDescent="0.2">
      <c r="A203" s="22">
        <v>186</v>
      </c>
      <c r="B203" s="23">
        <f t="shared" si="9"/>
        <v>107.97311028779086</v>
      </c>
      <c r="C203" s="23">
        <f t="shared" si="10"/>
        <v>93.615847580430497</v>
      </c>
      <c r="D203" s="23">
        <f t="shared" si="8"/>
        <v>14.357262707360361</v>
      </c>
      <c r="E203" s="31">
        <f t="shared" si="11"/>
        <v>11470.946988710008</v>
      </c>
    </row>
    <row r="204" spans="1:5" s="22" customFormat="1" x14ac:dyDescent="0.2">
      <c r="A204" s="22">
        <v>187</v>
      </c>
      <c r="B204" s="23">
        <f t="shared" si="9"/>
        <v>107.97311028779086</v>
      </c>
      <c r="C204" s="23">
        <f t="shared" si="10"/>
        <v>93.732070505266591</v>
      </c>
      <c r="D204" s="23">
        <f t="shared" si="8"/>
        <v>14.241039782524268</v>
      </c>
      <c r="E204" s="31">
        <f t="shared" si="11"/>
        <v>11377.214918204741</v>
      </c>
    </row>
    <row r="205" spans="1:5" s="22" customFormat="1" x14ac:dyDescent="0.2">
      <c r="A205" s="22">
        <v>188</v>
      </c>
      <c r="B205" s="23">
        <f t="shared" si="9"/>
        <v>107.97311028779086</v>
      </c>
      <c r="C205" s="23">
        <f t="shared" si="10"/>
        <v>93.848437719436234</v>
      </c>
      <c r="D205" s="23">
        <f t="shared" si="8"/>
        <v>14.124672568354622</v>
      </c>
      <c r="E205" s="31">
        <f t="shared" si="11"/>
        <v>11283.366480485305</v>
      </c>
    </row>
    <row r="206" spans="1:5" s="22" customFormat="1" x14ac:dyDescent="0.2">
      <c r="A206" s="22">
        <v>189</v>
      </c>
      <c r="B206" s="23">
        <f t="shared" si="9"/>
        <v>107.97311028779086</v>
      </c>
      <c r="C206" s="23">
        <f t="shared" si="10"/>
        <v>93.964949402072875</v>
      </c>
      <c r="D206" s="23">
        <f t="shared" si="8"/>
        <v>14.008160885717988</v>
      </c>
      <c r="E206" s="31">
        <f t="shared" si="11"/>
        <v>11189.401531083233</v>
      </c>
    </row>
    <row r="207" spans="1:5" s="22" customFormat="1" x14ac:dyDescent="0.2">
      <c r="A207" s="22">
        <v>190</v>
      </c>
      <c r="B207" s="23">
        <f t="shared" si="9"/>
        <v>107.97311028779086</v>
      </c>
      <c r="C207" s="23">
        <f t="shared" si="10"/>
        <v>94.081605732532324</v>
      </c>
      <c r="D207" s="23">
        <f t="shared" si="8"/>
        <v>13.891504555258537</v>
      </c>
      <c r="E207" s="31">
        <f t="shared" si="11"/>
        <v>11095.319925350701</v>
      </c>
    </row>
    <row r="208" spans="1:5" s="22" customFormat="1" x14ac:dyDescent="0.2">
      <c r="A208" s="22">
        <v>191</v>
      </c>
      <c r="B208" s="23">
        <f t="shared" si="9"/>
        <v>107.97311028779086</v>
      </c>
      <c r="C208" s="23">
        <f t="shared" si="10"/>
        <v>94.198406890393088</v>
      </c>
      <c r="D208" s="23">
        <f t="shared" si="8"/>
        <v>13.774703397397776</v>
      </c>
      <c r="E208" s="31">
        <f t="shared" si="11"/>
        <v>11001.121518460308</v>
      </c>
    </row>
    <row r="209" spans="1:5" s="22" customFormat="1" x14ac:dyDescent="0.2">
      <c r="A209" s="22">
        <v>192</v>
      </c>
      <c r="B209" s="23">
        <f t="shared" si="9"/>
        <v>107.97311028779086</v>
      </c>
      <c r="C209" s="23">
        <f t="shared" si="10"/>
        <v>94.315353055456598</v>
      </c>
      <c r="D209" s="23">
        <f t="shared" si="8"/>
        <v>13.657757232334262</v>
      </c>
      <c r="E209" s="31">
        <f t="shared" si="11"/>
        <v>10906.806165404851</v>
      </c>
    </row>
    <row r="210" spans="1:5" s="22" customFormat="1" x14ac:dyDescent="0.2">
      <c r="A210" s="22">
        <v>193</v>
      </c>
      <c r="B210" s="23">
        <f t="shared" si="9"/>
        <v>107.97311028779086</v>
      </c>
      <c r="C210" s="23">
        <f t="shared" si="10"/>
        <v>94.432444407747525</v>
      </c>
      <c r="D210" s="23">
        <f t="shared" ref="D210:D273" si="12">E209*B$7</f>
        <v>13.540665880043335</v>
      </c>
      <c r="E210" s="31">
        <f t="shared" si="11"/>
        <v>10812.373720997102</v>
      </c>
    </row>
    <row r="211" spans="1:5" s="22" customFormat="1" x14ac:dyDescent="0.2">
      <c r="A211" s="22">
        <v>194</v>
      </c>
      <c r="B211" s="23">
        <f t="shared" ref="B211:B274" si="13">B$9</f>
        <v>107.97311028779086</v>
      </c>
      <c r="C211" s="23">
        <f t="shared" ref="C211:C274" si="14">B211-D211</f>
        <v>94.54968112751402</v>
      </c>
      <c r="D211" s="23">
        <f t="shared" si="12"/>
        <v>13.423429160276836</v>
      </c>
      <c r="E211" s="31">
        <f t="shared" ref="E211:E274" si="15">E210-C211</f>
        <v>10717.824039869589</v>
      </c>
    </row>
    <row r="212" spans="1:5" s="22" customFormat="1" x14ac:dyDescent="0.2">
      <c r="A212" s="22">
        <v>195</v>
      </c>
      <c r="B212" s="23">
        <f t="shared" si="13"/>
        <v>107.97311028779086</v>
      </c>
      <c r="C212" s="23">
        <f t="shared" si="14"/>
        <v>94.667063395228027</v>
      </c>
      <c r="D212" s="23">
        <f t="shared" si="12"/>
        <v>13.306046892562833</v>
      </c>
      <c r="E212" s="31">
        <f t="shared" si="15"/>
        <v>10623.156976474362</v>
      </c>
    </row>
    <row r="213" spans="1:5" s="22" customFormat="1" x14ac:dyDescent="0.2">
      <c r="A213" s="22">
        <v>196</v>
      </c>
      <c r="B213" s="23">
        <f t="shared" si="13"/>
        <v>107.97311028779086</v>
      </c>
      <c r="C213" s="23">
        <f t="shared" si="14"/>
        <v>94.784591391585522</v>
      </c>
      <c r="D213" s="23">
        <f t="shared" si="12"/>
        <v>13.188518896205332</v>
      </c>
      <c r="E213" s="31">
        <f t="shared" si="15"/>
        <v>10528.372385082776</v>
      </c>
    </row>
    <row r="214" spans="1:5" s="22" customFormat="1" x14ac:dyDescent="0.2">
      <c r="A214" s="22">
        <v>197</v>
      </c>
      <c r="B214" s="23">
        <f t="shared" si="13"/>
        <v>107.97311028779086</v>
      </c>
      <c r="C214" s="23">
        <f t="shared" si="14"/>
        <v>94.902265297506844</v>
      </c>
      <c r="D214" s="23">
        <f t="shared" si="12"/>
        <v>13.070844990284016</v>
      </c>
      <c r="E214" s="31">
        <f t="shared" si="15"/>
        <v>10433.470119785268</v>
      </c>
    </row>
    <row r="215" spans="1:5" s="22" customFormat="1" x14ac:dyDescent="0.2">
      <c r="A215" s="22">
        <v>198</v>
      </c>
      <c r="B215" s="23">
        <f t="shared" si="13"/>
        <v>107.97311028779086</v>
      </c>
      <c r="C215" s="23">
        <f t="shared" si="14"/>
        <v>95.020085294136905</v>
      </c>
      <c r="D215" s="23">
        <f t="shared" si="12"/>
        <v>12.953024993653949</v>
      </c>
      <c r="E215" s="31">
        <f t="shared" si="15"/>
        <v>10338.450034491132</v>
      </c>
    </row>
    <row r="216" spans="1:5" s="22" customFormat="1" x14ac:dyDescent="0.2">
      <c r="A216" s="22">
        <v>199</v>
      </c>
      <c r="B216" s="23">
        <f t="shared" si="13"/>
        <v>107.97311028779086</v>
      </c>
      <c r="C216" s="23">
        <f t="shared" si="14"/>
        <v>95.138051562845547</v>
      </c>
      <c r="D216" s="23">
        <f t="shared" si="12"/>
        <v>12.835058724945318</v>
      </c>
      <c r="E216" s="31">
        <f t="shared" si="15"/>
        <v>10243.311982928286</v>
      </c>
    </row>
    <row r="217" spans="1:5" s="22" customFormat="1" x14ac:dyDescent="0.2">
      <c r="A217" s="22">
        <v>200</v>
      </c>
      <c r="B217" s="23">
        <f t="shared" si="13"/>
        <v>107.97311028779086</v>
      </c>
      <c r="C217" s="23">
        <f t="shared" si="14"/>
        <v>95.256164285227726</v>
      </c>
      <c r="D217" s="23">
        <f t="shared" si="12"/>
        <v>12.716946002563127</v>
      </c>
      <c r="E217" s="31">
        <f t="shared" si="15"/>
        <v>10148.055818643059</v>
      </c>
    </row>
    <row r="218" spans="1:5" s="22" customFormat="1" x14ac:dyDescent="0.2">
      <c r="A218" s="22">
        <v>201</v>
      </c>
      <c r="B218" s="23">
        <f t="shared" si="13"/>
        <v>107.97311028779086</v>
      </c>
      <c r="C218" s="23">
        <f t="shared" si="14"/>
        <v>95.37442364310391</v>
      </c>
      <c r="D218" s="23">
        <f t="shared" si="12"/>
        <v>12.598686644686943</v>
      </c>
      <c r="E218" s="31">
        <f t="shared" si="15"/>
        <v>10052.681394999956</v>
      </c>
    </row>
    <row r="219" spans="1:5" s="22" customFormat="1" x14ac:dyDescent="0.2">
      <c r="A219" s="22">
        <v>202</v>
      </c>
      <c r="B219" s="23">
        <f t="shared" si="13"/>
        <v>107.97311028779086</v>
      </c>
      <c r="C219" s="23">
        <f t="shared" si="14"/>
        <v>95.492829818520264</v>
      </c>
      <c r="D219" s="23">
        <f t="shared" si="12"/>
        <v>12.480280469270602</v>
      </c>
      <c r="E219" s="31">
        <f t="shared" si="15"/>
        <v>9957.1885651814355</v>
      </c>
    </row>
    <row r="220" spans="1:5" s="22" customFormat="1" x14ac:dyDescent="0.2">
      <c r="A220" s="22">
        <v>203</v>
      </c>
      <c r="B220" s="23">
        <f t="shared" si="13"/>
        <v>107.97311028779086</v>
      </c>
      <c r="C220" s="23">
        <f t="shared" si="14"/>
        <v>95.611382993748933</v>
      </c>
      <c r="D220" s="23">
        <f t="shared" si="12"/>
        <v>12.361727294041927</v>
      </c>
      <c r="E220" s="31">
        <f t="shared" si="15"/>
        <v>9861.577182187686</v>
      </c>
    </row>
    <row r="221" spans="1:5" s="22" customFormat="1" x14ac:dyDescent="0.2">
      <c r="A221" s="22">
        <v>204</v>
      </c>
      <c r="B221" s="23">
        <f t="shared" si="13"/>
        <v>107.97311028779086</v>
      </c>
      <c r="C221" s="23">
        <f t="shared" si="14"/>
        <v>95.7300833512884</v>
      </c>
      <c r="D221" s="23">
        <f t="shared" si="12"/>
        <v>12.24302693650246</v>
      </c>
      <c r="E221" s="31">
        <f t="shared" si="15"/>
        <v>9765.847098836397</v>
      </c>
    </row>
    <row r="222" spans="1:5" s="22" customFormat="1" x14ac:dyDescent="0.2">
      <c r="A222" s="22">
        <v>205</v>
      </c>
      <c r="B222" s="23">
        <f t="shared" si="13"/>
        <v>107.97311028779086</v>
      </c>
      <c r="C222" s="23">
        <f t="shared" si="14"/>
        <v>95.848931073863696</v>
      </c>
      <c r="D222" s="23">
        <f t="shared" si="12"/>
        <v>12.124179213927169</v>
      </c>
      <c r="E222" s="31">
        <f t="shared" si="15"/>
        <v>9669.9981677625328</v>
      </c>
    </row>
    <row r="223" spans="1:5" s="22" customFormat="1" x14ac:dyDescent="0.2">
      <c r="A223" s="22">
        <v>206</v>
      </c>
      <c r="B223" s="23">
        <f t="shared" si="13"/>
        <v>107.97311028779086</v>
      </c>
      <c r="C223" s="23">
        <f t="shared" si="14"/>
        <v>95.967926344426687</v>
      </c>
      <c r="D223" s="23">
        <f t="shared" si="12"/>
        <v>12.005183943364173</v>
      </c>
      <c r="E223" s="31">
        <f t="shared" si="15"/>
        <v>9574.030241418106</v>
      </c>
    </row>
    <row r="224" spans="1:5" s="22" customFormat="1" x14ac:dyDescent="0.2">
      <c r="A224" s="22">
        <v>207</v>
      </c>
      <c r="B224" s="23">
        <f t="shared" si="13"/>
        <v>107.97311028779086</v>
      </c>
      <c r="C224" s="23">
        <f t="shared" si="14"/>
        <v>96.087069346156397</v>
      </c>
      <c r="D224" s="23">
        <f t="shared" si="12"/>
        <v>11.886040941634459</v>
      </c>
      <c r="E224" s="31">
        <f t="shared" si="15"/>
        <v>9477.9431720719494</v>
      </c>
    </row>
    <row r="225" spans="1:5" s="22" customFormat="1" x14ac:dyDescent="0.2">
      <c r="A225" s="22">
        <v>208</v>
      </c>
      <c r="B225" s="23">
        <f t="shared" si="13"/>
        <v>107.97311028779086</v>
      </c>
      <c r="C225" s="23">
        <f t="shared" si="14"/>
        <v>96.20636026245927</v>
      </c>
      <c r="D225" s="23">
        <f t="shared" si="12"/>
        <v>11.766750025331596</v>
      </c>
      <c r="E225" s="31">
        <f t="shared" si="15"/>
        <v>9381.736811809491</v>
      </c>
    </row>
    <row r="226" spans="1:5" s="22" customFormat="1" x14ac:dyDescent="0.2">
      <c r="A226" s="22">
        <v>209</v>
      </c>
      <c r="B226" s="23">
        <f t="shared" si="13"/>
        <v>107.97311028779086</v>
      </c>
      <c r="C226" s="23">
        <f t="shared" si="14"/>
        <v>96.325799276969406</v>
      </c>
      <c r="D226" s="23">
        <f t="shared" si="12"/>
        <v>11.647311010821461</v>
      </c>
      <c r="E226" s="31">
        <f t="shared" si="15"/>
        <v>9285.4110125325224</v>
      </c>
    </row>
    <row r="227" spans="1:5" s="22" customFormat="1" x14ac:dyDescent="0.2">
      <c r="A227" s="22">
        <v>210</v>
      </c>
      <c r="B227" s="23">
        <f t="shared" si="13"/>
        <v>107.97311028779086</v>
      </c>
      <c r="C227" s="23">
        <f t="shared" si="14"/>
        <v>96.445386573548916</v>
      </c>
      <c r="D227" s="23">
        <f t="shared" si="12"/>
        <v>11.527723714241946</v>
      </c>
      <c r="E227" s="31">
        <f t="shared" si="15"/>
        <v>9188.9656259589738</v>
      </c>
    </row>
    <row r="228" spans="1:5" s="22" customFormat="1" x14ac:dyDescent="0.2">
      <c r="A228" s="22">
        <v>211</v>
      </c>
      <c r="B228" s="23">
        <f t="shared" si="13"/>
        <v>107.97311028779086</v>
      </c>
      <c r="C228" s="23">
        <f t="shared" si="14"/>
        <v>96.565122336288169</v>
      </c>
      <c r="D228" s="23">
        <f t="shared" si="12"/>
        <v>11.407987951502683</v>
      </c>
      <c r="E228" s="31">
        <f t="shared" si="15"/>
        <v>9092.4005036226863</v>
      </c>
    </row>
    <row r="229" spans="1:5" s="22" customFormat="1" x14ac:dyDescent="0.2">
      <c r="A229" s="22">
        <v>212</v>
      </c>
      <c r="B229" s="23">
        <f t="shared" si="13"/>
        <v>107.97311028779086</v>
      </c>
      <c r="C229" s="23">
        <f t="shared" si="14"/>
        <v>96.685006749506101</v>
      </c>
      <c r="D229" s="23">
        <f t="shared" si="12"/>
        <v>11.28810353828476</v>
      </c>
      <c r="E229" s="31">
        <f t="shared" si="15"/>
        <v>8995.7154968731811</v>
      </c>
    </row>
    <row r="230" spans="1:5" s="22" customFormat="1" x14ac:dyDescent="0.2">
      <c r="A230" s="22">
        <v>213</v>
      </c>
      <c r="B230" s="23">
        <f t="shared" si="13"/>
        <v>107.97311028779086</v>
      </c>
      <c r="C230" s="23">
        <f t="shared" si="14"/>
        <v>96.805039997750427</v>
      </c>
      <c r="D230" s="23">
        <f t="shared" si="12"/>
        <v>11.168070290040435</v>
      </c>
      <c r="E230" s="31">
        <f t="shared" si="15"/>
        <v>8898.9104568754301</v>
      </c>
    </row>
    <row r="231" spans="1:5" s="22" customFormat="1" x14ac:dyDescent="0.2">
      <c r="A231" s="22">
        <v>214</v>
      </c>
      <c r="B231" s="23">
        <f t="shared" si="13"/>
        <v>107.97311028779086</v>
      </c>
      <c r="C231" s="23">
        <f t="shared" si="14"/>
        <v>96.925222265798013</v>
      </c>
      <c r="D231" s="23">
        <f t="shared" si="12"/>
        <v>11.047888021992847</v>
      </c>
      <c r="E231" s="31">
        <f t="shared" si="15"/>
        <v>8801.9852346096322</v>
      </c>
    </row>
    <row r="232" spans="1:5" s="22" customFormat="1" x14ac:dyDescent="0.2">
      <c r="A232" s="22">
        <v>215</v>
      </c>
      <c r="B232" s="23">
        <f t="shared" si="13"/>
        <v>107.97311028779086</v>
      </c>
      <c r="C232" s="23">
        <f t="shared" si="14"/>
        <v>97.045553738655116</v>
      </c>
      <c r="D232" s="23">
        <f t="shared" si="12"/>
        <v>10.927556549135742</v>
      </c>
      <c r="E232" s="31">
        <f t="shared" si="15"/>
        <v>8704.9396808709771</v>
      </c>
    </row>
    <row r="233" spans="1:5" s="22" customFormat="1" x14ac:dyDescent="0.2">
      <c r="A233" s="22">
        <v>216</v>
      </c>
      <c r="B233" s="23">
        <f t="shared" si="13"/>
        <v>107.97311028779086</v>
      </c>
      <c r="C233" s="23">
        <f t="shared" si="14"/>
        <v>97.166034601557669</v>
      </c>
      <c r="D233" s="23">
        <f t="shared" si="12"/>
        <v>10.807075686233185</v>
      </c>
      <c r="E233" s="31">
        <f t="shared" si="15"/>
        <v>8607.7736462694193</v>
      </c>
    </row>
    <row r="234" spans="1:5" s="22" customFormat="1" x14ac:dyDescent="0.2">
      <c r="A234" s="22">
        <v>217</v>
      </c>
      <c r="B234" s="23">
        <f t="shared" si="13"/>
        <v>107.97311028779086</v>
      </c>
      <c r="C234" s="23">
        <f t="shared" si="14"/>
        <v>97.286665039971595</v>
      </c>
      <c r="D234" s="23">
        <f t="shared" si="12"/>
        <v>10.686445247819265</v>
      </c>
      <c r="E234" s="31">
        <f t="shared" si="15"/>
        <v>8510.4869812294473</v>
      </c>
    </row>
    <row r="235" spans="1:5" s="22" customFormat="1" x14ac:dyDescent="0.2">
      <c r="A235" s="22">
        <v>218</v>
      </c>
      <c r="B235" s="23">
        <f t="shared" si="13"/>
        <v>107.97311028779086</v>
      </c>
      <c r="C235" s="23">
        <f t="shared" si="14"/>
        <v>97.407445239593031</v>
      </c>
      <c r="D235" s="23">
        <f t="shared" si="12"/>
        <v>10.565665048197825</v>
      </c>
      <c r="E235" s="31">
        <f t="shared" si="15"/>
        <v>8413.0795359898548</v>
      </c>
    </row>
    <row r="236" spans="1:5" s="22" customFormat="1" x14ac:dyDescent="0.2">
      <c r="A236" s="22">
        <v>219</v>
      </c>
      <c r="B236" s="23">
        <f t="shared" si="13"/>
        <v>107.97311028779086</v>
      </c>
      <c r="C236" s="23">
        <f t="shared" si="14"/>
        <v>97.528375386348699</v>
      </c>
      <c r="D236" s="23">
        <f t="shared" si="12"/>
        <v>10.444734901442166</v>
      </c>
      <c r="E236" s="31">
        <f t="shared" si="15"/>
        <v>8315.5511606035052</v>
      </c>
    </row>
    <row r="237" spans="1:5" s="22" customFormat="1" x14ac:dyDescent="0.2">
      <c r="A237" s="22">
        <v>220</v>
      </c>
      <c r="B237" s="23">
        <f t="shared" si="13"/>
        <v>107.97311028779086</v>
      </c>
      <c r="C237" s="23">
        <f t="shared" si="14"/>
        <v>97.649455666396108</v>
      </c>
      <c r="D237" s="23">
        <f t="shared" si="12"/>
        <v>10.323654621394759</v>
      </c>
      <c r="E237" s="31">
        <f t="shared" si="15"/>
        <v>8217.9017049371087</v>
      </c>
    </row>
    <row r="238" spans="1:5" s="22" customFormat="1" x14ac:dyDescent="0.2">
      <c r="A238" s="22">
        <v>221</v>
      </c>
      <c r="B238" s="23">
        <f t="shared" si="13"/>
        <v>107.97311028779086</v>
      </c>
      <c r="C238" s="23">
        <f t="shared" si="14"/>
        <v>97.770686266123889</v>
      </c>
      <c r="D238" s="23">
        <f t="shared" si="12"/>
        <v>10.202424021666969</v>
      </c>
      <c r="E238" s="31">
        <f t="shared" si="15"/>
        <v>8120.1310186709852</v>
      </c>
    </row>
    <row r="239" spans="1:5" s="22" customFormat="1" x14ac:dyDescent="0.2">
      <c r="A239" s="22">
        <v>222</v>
      </c>
      <c r="B239" s="23">
        <f t="shared" si="13"/>
        <v>107.97311028779086</v>
      </c>
      <c r="C239" s="23">
        <f t="shared" si="14"/>
        <v>97.892067372152098</v>
      </c>
      <c r="D239" s="23">
        <f t="shared" si="12"/>
        <v>10.081042915638761</v>
      </c>
      <c r="E239" s="31">
        <f t="shared" si="15"/>
        <v>8022.2389512988329</v>
      </c>
    </row>
    <row r="240" spans="1:5" s="22" customFormat="1" x14ac:dyDescent="0.2">
      <c r="A240" s="22">
        <v>223</v>
      </c>
      <c r="B240" s="23">
        <f t="shared" si="13"/>
        <v>107.97311028779086</v>
      </c>
      <c r="C240" s="23">
        <f t="shared" si="14"/>
        <v>98.013599171332444</v>
      </c>
      <c r="D240" s="23">
        <f t="shared" si="12"/>
        <v>9.95951111645841</v>
      </c>
      <c r="E240" s="31">
        <f t="shared" si="15"/>
        <v>7924.2253521275006</v>
      </c>
    </row>
    <row r="241" spans="1:5" s="22" customFormat="1" x14ac:dyDescent="0.2">
      <c r="A241" s="22">
        <v>224</v>
      </c>
      <c r="B241" s="23">
        <f t="shared" si="13"/>
        <v>107.97311028779086</v>
      </c>
      <c r="C241" s="23">
        <f t="shared" si="14"/>
        <v>98.13528185074864</v>
      </c>
      <c r="D241" s="23">
        <f t="shared" si="12"/>
        <v>9.8378284370422175</v>
      </c>
      <c r="E241" s="31">
        <f t="shared" si="15"/>
        <v>7826.0900702767522</v>
      </c>
    </row>
    <row r="242" spans="1:5" s="22" customFormat="1" x14ac:dyDescent="0.2">
      <c r="A242" s="22">
        <v>225</v>
      </c>
      <c r="B242" s="23">
        <f t="shared" si="13"/>
        <v>107.97311028779086</v>
      </c>
      <c r="C242" s="23">
        <f t="shared" si="14"/>
        <v>98.257115597716634</v>
      </c>
      <c r="D242" s="23">
        <f t="shared" si="12"/>
        <v>9.7159946900742256</v>
      </c>
      <c r="E242" s="31">
        <f t="shared" si="15"/>
        <v>7727.8329546790355</v>
      </c>
    </row>
    <row r="243" spans="1:5" s="22" customFormat="1" x14ac:dyDescent="0.2">
      <c r="A243" s="22">
        <v>226</v>
      </c>
      <c r="B243" s="23">
        <f t="shared" si="13"/>
        <v>107.97311028779086</v>
      </c>
      <c r="C243" s="23">
        <f t="shared" si="14"/>
        <v>98.379100599784934</v>
      </c>
      <c r="D243" s="23">
        <f t="shared" si="12"/>
        <v>9.594009688005924</v>
      </c>
      <c r="E243" s="31">
        <f t="shared" si="15"/>
        <v>7629.453854079251</v>
      </c>
    </row>
    <row r="244" spans="1:5" s="22" customFormat="1" x14ac:dyDescent="0.2">
      <c r="A244" s="22">
        <v>227</v>
      </c>
      <c r="B244" s="23">
        <f t="shared" si="13"/>
        <v>107.97311028779086</v>
      </c>
      <c r="C244" s="23">
        <f t="shared" si="14"/>
        <v>98.501237044734893</v>
      </c>
      <c r="D244" s="23">
        <f t="shared" si="12"/>
        <v>9.4718732430559651</v>
      </c>
      <c r="E244" s="31">
        <f t="shared" si="15"/>
        <v>7530.9526170345162</v>
      </c>
    </row>
    <row r="245" spans="1:5" s="22" customFormat="1" x14ac:dyDescent="0.2">
      <c r="A245" s="22">
        <v>228</v>
      </c>
      <c r="B245" s="23">
        <f t="shared" si="13"/>
        <v>107.97311028779086</v>
      </c>
      <c r="C245" s="23">
        <f t="shared" si="14"/>
        <v>98.623525120580993</v>
      </c>
      <c r="D245" s="23">
        <f t="shared" si="12"/>
        <v>9.3495851672098684</v>
      </c>
      <c r="E245" s="31">
        <f t="shared" si="15"/>
        <v>7432.3290919139354</v>
      </c>
    </row>
    <row r="246" spans="1:5" s="22" customFormat="1" x14ac:dyDescent="0.2">
      <c r="A246" s="22">
        <v>229</v>
      </c>
      <c r="B246" s="23">
        <f t="shared" si="13"/>
        <v>107.97311028779086</v>
      </c>
      <c r="C246" s="23">
        <f t="shared" si="14"/>
        <v>98.745965015571116</v>
      </c>
      <c r="D246" s="23">
        <f t="shared" si="12"/>
        <v>9.2271452722197402</v>
      </c>
      <c r="E246" s="31">
        <f t="shared" si="15"/>
        <v>7333.5831268983638</v>
      </c>
    </row>
    <row r="247" spans="1:5" s="22" customFormat="1" x14ac:dyDescent="0.2">
      <c r="A247" s="22">
        <v>230</v>
      </c>
      <c r="B247" s="23">
        <f t="shared" si="13"/>
        <v>107.97311028779086</v>
      </c>
      <c r="C247" s="23">
        <f t="shared" si="14"/>
        <v>98.868556918186883</v>
      </c>
      <c r="D247" s="23">
        <f t="shared" si="12"/>
        <v>9.1045533696039787</v>
      </c>
      <c r="E247" s="31">
        <f t="shared" si="15"/>
        <v>7234.7145699801767</v>
      </c>
    </row>
    <row r="248" spans="1:5" s="22" customFormat="1" x14ac:dyDescent="0.2">
      <c r="A248" s="22">
        <v>231</v>
      </c>
      <c r="B248" s="23">
        <f t="shared" si="13"/>
        <v>107.97311028779086</v>
      </c>
      <c r="C248" s="23">
        <f t="shared" si="14"/>
        <v>98.991301017143883</v>
      </c>
      <c r="D248" s="23">
        <f t="shared" si="12"/>
        <v>8.9818092706469841</v>
      </c>
      <c r="E248" s="31">
        <f t="shared" si="15"/>
        <v>7135.7232689630328</v>
      </c>
    </row>
    <row r="249" spans="1:5" s="22" customFormat="1" x14ac:dyDescent="0.2">
      <c r="A249" s="22">
        <v>232</v>
      </c>
      <c r="B249" s="23">
        <f t="shared" si="13"/>
        <v>107.97311028779086</v>
      </c>
      <c r="C249" s="23">
        <f t="shared" si="14"/>
        <v>99.114197501391999</v>
      </c>
      <c r="D249" s="23">
        <f t="shared" si="12"/>
        <v>8.8589127863988661</v>
      </c>
      <c r="E249" s="31">
        <f t="shared" si="15"/>
        <v>7036.6090714616412</v>
      </c>
    </row>
    <row r="250" spans="1:5" s="22" customFormat="1" x14ac:dyDescent="0.2">
      <c r="A250" s="22">
        <v>233</v>
      </c>
      <c r="B250" s="23">
        <f t="shared" si="13"/>
        <v>107.97311028779086</v>
      </c>
      <c r="C250" s="23">
        <f t="shared" si="14"/>
        <v>99.237246560115693</v>
      </c>
      <c r="D250" s="23">
        <f t="shared" si="12"/>
        <v>8.7358637276751612</v>
      </c>
      <c r="E250" s="31">
        <f t="shared" si="15"/>
        <v>6937.3718249015255</v>
      </c>
    </row>
    <row r="251" spans="1:5" s="22" customFormat="1" x14ac:dyDescent="0.2">
      <c r="A251" s="22">
        <v>234</v>
      </c>
      <c r="B251" s="23">
        <f t="shared" si="13"/>
        <v>107.97311028779086</v>
      </c>
      <c r="C251" s="23">
        <f t="shared" si="14"/>
        <v>99.360448382734333</v>
      </c>
      <c r="D251" s="23">
        <f t="shared" si="12"/>
        <v>8.6126619050565303</v>
      </c>
      <c r="E251" s="31">
        <f t="shared" si="15"/>
        <v>6838.0113765187916</v>
      </c>
    </row>
    <row r="252" spans="1:5" s="22" customFormat="1" x14ac:dyDescent="0.2">
      <c r="A252" s="22">
        <v>235</v>
      </c>
      <c r="B252" s="23">
        <f t="shared" si="13"/>
        <v>107.97311028779086</v>
      </c>
      <c r="C252" s="23">
        <f t="shared" si="14"/>
        <v>99.48380315890239</v>
      </c>
      <c r="D252" s="23">
        <f t="shared" si="12"/>
        <v>8.4893071288884734</v>
      </c>
      <c r="E252" s="31">
        <f t="shared" si="15"/>
        <v>6738.5275733598892</v>
      </c>
    </row>
    <row r="253" spans="1:5" s="22" customFormat="1" x14ac:dyDescent="0.2">
      <c r="A253" s="22">
        <v>236</v>
      </c>
      <c r="B253" s="23">
        <f t="shared" si="13"/>
        <v>107.97311028779086</v>
      </c>
      <c r="C253" s="23">
        <f t="shared" si="14"/>
        <v>99.607311078509824</v>
      </c>
      <c r="D253" s="23">
        <f t="shared" si="12"/>
        <v>8.3657992092810396</v>
      </c>
      <c r="E253" s="31">
        <f t="shared" si="15"/>
        <v>6638.9202622813791</v>
      </c>
    </row>
    <row r="254" spans="1:5" s="22" customFormat="1" x14ac:dyDescent="0.2">
      <c r="A254" s="22">
        <v>237</v>
      </c>
      <c r="B254" s="23">
        <f t="shared" si="13"/>
        <v>107.97311028779086</v>
      </c>
      <c r="C254" s="23">
        <f t="shared" si="14"/>
        <v>99.730972331682338</v>
      </c>
      <c r="D254" s="23">
        <f t="shared" si="12"/>
        <v>8.2421379561085271</v>
      </c>
      <c r="E254" s="31">
        <f t="shared" si="15"/>
        <v>6539.189289949697</v>
      </c>
    </row>
    <row r="255" spans="1:5" s="22" customFormat="1" x14ac:dyDescent="0.2">
      <c r="A255" s="22">
        <v>238</v>
      </c>
      <c r="B255" s="23">
        <f t="shared" si="13"/>
        <v>107.97311028779086</v>
      </c>
      <c r="C255" s="23">
        <f t="shared" si="14"/>
        <v>99.854787108781665</v>
      </c>
      <c r="D255" s="23">
        <f t="shared" si="12"/>
        <v>8.1183231790092005</v>
      </c>
      <c r="E255" s="31">
        <f t="shared" si="15"/>
        <v>6439.3345028409158</v>
      </c>
    </row>
    <row r="256" spans="1:5" s="22" customFormat="1" x14ac:dyDescent="0.2">
      <c r="A256" s="22">
        <v>239</v>
      </c>
      <c r="B256" s="23">
        <f t="shared" si="13"/>
        <v>107.97311028779086</v>
      </c>
      <c r="C256" s="23">
        <f t="shared" si="14"/>
        <v>99.978755600405862</v>
      </c>
      <c r="D256" s="23">
        <f t="shared" si="12"/>
        <v>7.994354687384992</v>
      </c>
      <c r="E256" s="31">
        <f t="shared" si="15"/>
        <v>6339.35574724051</v>
      </c>
    </row>
    <row r="257" spans="1:5" s="22" customFormat="1" x14ac:dyDescent="0.2">
      <c r="A257" s="22">
        <v>240</v>
      </c>
      <c r="B257" s="23">
        <f t="shared" si="13"/>
        <v>107.97311028779086</v>
      </c>
      <c r="C257" s="23">
        <f t="shared" si="14"/>
        <v>100.10287799738965</v>
      </c>
      <c r="D257" s="23">
        <f t="shared" si="12"/>
        <v>7.8702322904012041</v>
      </c>
      <c r="E257" s="31">
        <f t="shared" si="15"/>
        <v>6239.2528692431206</v>
      </c>
    </row>
    <row r="258" spans="1:5" s="22" customFormat="1" x14ac:dyDescent="0.2">
      <c r="A258" s="22">
        <v>241</v>
      </c>
      <c r="B258" s="23">
        <f t="shared" si="13"/>
        <v>107.97311028779086</v>
      </c>
      <c r="C258" s="23">
        <f t="shared" si="14"/>
        <v>100.22715449080464</v>
      </c>
      <c r="D258" s="23">
        <f t="shared" si="12"/>
        <v>7.7459557969862249</v>
      </c>
      <c r="E258" s="31">
        <f t="shared" si="15"/>
        <v>6139.0257147523162</v>
      </c>
    </row>
    <row r="259" spans="1:5" s="22" customFormat="1" x14ac:dyDescent="0.2">
      <c r="A259" s="22">
        <v>242</v>
      </c>
      <c r="B259" s="23">
        <f t="shared" si="13"/>
        <v>107.97311028779086</v>
      </c>
      <c r="C259" s="23">
        <f t="shared" si="14"/>
        <v>100.35158527195964</v>
      </c>
      <c r="D259" s="23">
        <f t="shared" si="12"/>
        <v>7.6215250158312271</v>
      </c>
      <c r="E259" s="31">
        <f t="shared" si="15"/>
        <v>6038.6741294803569</v>
      </c>
    </row>
    <row r="260" spans="1:5" s="22" customFormat="1" x14ac:dyDescent="0.2">
      <c r="A260" s="22">
        <v>243</v>
      </c>
      <c r="B260" s="23">
        <f t="shared" si="13"/>
        <v>107.97311028779086</v>
      </c>
      <c r="C260" s="23">
        <f t="shared" si="14"/>
        <v>100.47617053240099</v>
      </c>
      <c r="D260" s="23">
        <f t="shared" si="12"/>
        <v>7.496939755389878</v>
      </c>
      <c r="E260" s="31">
        <f t="shared" si="15"/>
        <v>5938.1979589479561</v>
      </c>
    </row>
    <row r="261" spans="1:5" s="22" customFormat="1" x14ac:dyDescent="0.2">
      <c r="A261" s="22">
        <v>244</v>
      </c>
      <c r="B261" s="23">
        <f t="shared" si="13"/>
        <v>107.97311028779086</v>
      </c>
      <c r="C261" s="23">
        <f t="shared" si="14"/>
        <v>100.60091046391283</v>
      </c>
      <c r="D261" s="23">
        <f t="shared" si="12"/>
        <v>7.3721998238780397</v>
      </c>
      <c r="E261" s="31">
        <f t="shared" si="15"/>
        <v>5837.5970484840436</v>
      </c>
    </row>
    <row r="262" spans="1:5" s="22" customFormat="1" x14ac:dyDescent="0.2">
      <c r="A262" s="22">
        <v>245</v>
      </c>
      <c r="B262" s="23">
        <f t="shared" si="13"/>
        <v>107.97311028779086</v>
      </c>
      <c r="C262" s="23">
        <f t="shared" si="14"/>
        <v>100.72580525851738</v>
      </c>
      <c r="D262" s="23">
        <f t="shared" si="12"/>
        <v>7.2473050292734795</v>
      </c>
      <c r="E262" s="31">
        <f t="shared" si="15"/>
        <v>5736.8712432255261</v>
      </c>
    </row>
    <row r="263" spans="1:5" s="22" customFormat="1" x14ac:dyDescent="0.2">
      <c r="A263" s="22">
        <v>246</v>
      </c>
      <c r="B263" s="23">
        <f t="shared" si="13"/>
        <v>107.97311028779086</v>
      </c>
      <c r="C263" s="23">
        <f t="shared" si="14"/>
        <v>100.85085510847529</v>
      </c>
      <c r="D263" s="23">
        <f t="shared" si="12"/>
        <v>7.1222551793155677</v>
      </c>
      <c r="E263" s="31">
        <f t="shared" si="15"/>
        <v>5636.020388117051</v>
      </c>
    </row>
    <row r="264" spans="1:5" s="22" customFormat="1" x14ac:dyDescent="0.2">
      <c r="A264" s="22">
        <v>247</v>
      </c>
      <c r="B264" s="23">
        <f t="shared" si="13"/>
        <v>107.97311028779086</v>
      </c>
      <c r="C264" s="23">
        <f t="shared" si="14"/>
        <v>100.97606020628587</v>
      </c>
      <c r="D264" s="23">
        <f t="shared" si="12"/>
        <v>6.997050081504991</v>
      </c>
      <c r="E264" s="31">
        <f t="shared" si="15"/>
        <v>5535.0443279107649</v>
      </c>
    </row>
    <row r="265" spans="1:5" s="22" customFormat="1" x14ac:dyDescent="0.2">
      <c r="A265" s="22">
        <v>248</v>
      </c>
      <c r="B265" s="23">
        <f t="shared" si="13"/>
        <v>107.97311028779086</v>
      </c>
      <c r="C265" s="23">
        <f t="shared" si="14"/>
        <v>101.10142074468742</v>
      </c>
      <c r="D265" s="23">
        <f t="shared" si="12"/>
        <v>6.8716895431034439</v>
      </c>
      <c r="E265" s="31">
        <f t="shared" si="15"/>
        <v>5433.942907166077</v>
      </c>
    </row>
    <row r="266" spans="1:5" s="22" customFormat="1" x14ac:dyDescent="0.2">
      <c r="A266" s="22">
        <v>249</v>
      </c>
      <c r="B266" s="23">
        <f t="shared" si="13"/>
        <v>107.97311028779086</v>
      </c>
      <c r="C266" s="23">
        <f t="shared" si="14"/>
        <v>101.22693691665752</v>
      </c>
      <c r="D266" s="23">
        <f t="shared" si="12"/>
        <v>6.7461733711333443</v>
      </c>
      <c r="E266" s="31">
        <f t="shared" si="15"/>
        <v>5332.7159702494191</v>
      </c>
    </row>
    <row r="267" spans="1:5" s="22" customFormat="1" x14ac:dyDescent="0.2">
      <c r="A267" s="22">
        <v>250</v>
      </c>
      <c r="B267" s="23">
        <f t="shared" si="13"/>
        <v>107.97311028779086</v>
      </c>
      <c r="C267" s="23">
        <f t="shared" si="14"/>
        <v>101.35260891541333</v>
      </c>
      <c r="D267" s="23">
        <f t="shared" si="12"/>
        <v>6.6205013723775279</v>
      </c>
      <c r="E267" s="31">
        <f t="shared" si="15"/>
        <v>5231.3633613340062</v>
      </c>
    </row>
    <row r="268" spans="1:5" s="22" customFormat="1" x14ac:dyDescent="0.2">
      <c r="A268" s="22">
        <v>251</v>
      </c>
      <c r="B268" s="23">
        <f t="shared" si="13"/>
        <v>107.97311028779086</v>
      </c>
      <c r="C268" s="23">
        <f t="shared" si="14"/>
        <v>101.4784369344119</v>
      </c>
      <c r="D268" s="23">
        <f t="shared" si="12"/>
        <v>6.4946733533789551</v>
      </c>
      <c r="E268" s="31">
        <f t="shared" si="15"/>
        <v>5129.8849243995946</v>
      </c>
    </row>
    <row r="269" spans="1:5" s="22" customFormat="1" x14ac:dyDescent="0.2">
      <c r="A269" s="22">
        <v>252</v>
      </c>
      <c r="B269" s="23">
        <f t="shared" si="13"/>
        <v>107.97311028779086</v>
      </c>
      <c r="C269" s="23">
        <f t="shared" si="14"/>
        <v>101.60442116735045</v>
      </c>
      <c r="D269" s="23">
        <f t="shared" si="12"/>
        <v>6.3686891204404112</v>
      </c>
      <c r="E269" s="31">
        <f t="shared" si="15"/>
        <v>5028.280503232244</v>
      </c>
    </row>
    <row r="270" spans="1:5" s="22" customFormat="1" x14ac:dyDescent="0.2">
      <c r="A270" s="22">
        <v>253</v>
      </c>
      <c r="B270" s="23">
        <f t="shared" si="13"/>
        <v>107.97311028779086</v>
      </c>
      <c r="C270" s="23">
        <f t="shared" si="14"/>
        <v>101.73056180816666</v>
      </c>
      <c r="D270" s="23">
        <f t="shared" si="12"/>
        <v>6.2425484796242063</v>
      </c>
      <c r="E270" s="31">
        <f t="shared" si="15"/>
        <v>4926.5499414240776</v>
      </c>
    </row>
    <row r="271" spans="1:5" s="22" customFormat="1" x14ac:dyDescent="0.2">
      <c r="A271" s="22">
        <v>254</v>
      </c>
      <c r="B271" s="23">
        <f t="shared" si="13"/>
        <v>107.97311028779086</v>
      </c>
      <c r="C271" s="23">
        <f t="shared" si="14"/>
        <v>101.85685905103898</v>
      </c>
      <c r="D271" s="23">
        <f t="shared" si="12"/>
        <v>6.1162512367518849</v>
      </c>
      <c r="E271" s="31">
        <f t="shared" si="15"/>
        <v>4824.693082373039</v>
      </c>
    </row>
    <row r="272" spans="1:5" s="22" customFormat="1" x14ac:dyDescent="0.2">
      <c r="A272" s="22">
        <v>255</v>
      </c>
      <c r="B272" s="23">
        <f t="shared" si="13"/>
        <v>107.97311028779086</v>
      </c>
      <c r="C272" s="23">
        <f t="shared" si="14"/>
        <v>101.98331309038694</v>
      </c>
      <c r="D272" s="23">
        <f t="shared" si="12"/>
        <v>5.9897971974039148</v>
      </c>
      <c r="E272" s="31">
        <f t="shared" si="15"/>
        <v>4722.7097692826519</v>
      </c>
    </row>
    <row r="273" spans="1:5" s="22" customFormat="1" x14ac:dyDescent="0.2">
      <c r="A273" s="22">
        <v>256</v>
      </c>
      <c r="B273" s="23">
        <f t="shared" si="13"/>
        <v>107.97311028779086</v>
      </c>
      <c r="C273" s="23">
        <f t="shared" si="14"/>
        <v>102.10992412087145</v>
      </c>
      <c r="D273" s="23">
        <f t="shared" si="12"/>
        <v>5.863186166919399</v>
      </c>
      <c r="E273" s="31">
        <f t="shared" si="15"/>
        <v>4620.5998451617806</v>
      </c>
    </row>
    <row r="274" spans="1:5" s="22" customFormat="1" x14ac:dyDescent="0.2">
      <c r="A274" s="22">
        <v>257</v>
      </c>
      <c r="B274" s="23">
        <f t="shared" si="13"/>
        <v>107.97311028779086</v>
      </c>
      <c r="C274" s="23">
        <f t="shared" si="14"/>
        <v>102.23669233739508</v>
      </c>
      <c r="D274" s="23">
        <f t="shared" ref="D274:D317" si="16">E273*B$7</f>
        <v>5.7364179503957695</v>
      </c>
      <c r="E274" s="31">
        <f t="shared" si="15"/>
        <v>4518.3631528243859</v>
      </c>
    </row>
    <row r="275" spans="1:5" s="22" customFormat="1" x14ac:dyDescent="0.2">
      <c r="A275" s="22">
        <v>258</v>
      </c>
      <c r="B275" s="23">
        <f t="shared" ref="B275:B317" si="17">B$9</f>
        <v>107.97311028779086</v>
      </c>
      <c r="C275" s="23">
        <f t="shared" ref="C275:C317" si="18">B275-D275</f>
        <v>102.36361793510237</v>
      </c>
      <c r="D275" s="23">
        <f t="shared" si="16"/>
        <v>5.6094923526884903</v>
      </c>
      <c r="E275" s="31">
        <f t="shared" ref="E275:E317" si="19">E274-C275</f>
        <v>4415.9995348892835</v>
      </c>
    </row>
    <row r="276" spans="1:5" s="22" customFormat="1" x14ac:dyDescent="0.2">
      <c r="A276" s="22">
        <v>259</v>
      </c>
      <c r="B276" s="23">
        <f t="shared" si="17"/>
        <v>107.97311028779086</v>
      </c>
      <c r="C276" s="23">
        <f t="shared" si="18"/>
        <v>102.49070110938011</v>
      </c>
      <c r="D276" s="23">
        <f t="shared" si="16"/>
        <v>5.4824091784107543</v>
      </c>
      <c r="E276" s="31">
        <f t="shared" si="19"/>
        <v>4313.5088337799034</v>
      </c>
    </row>
    <row r="277" spans="1:5" s="22" customFormat="1" x14ac:dyDescent="0.2">
      <c r="A277" s="22">
        <v>260</v>
      </c>
      <c r="B277" s="23">
        <f t="shared" si="17"/>
        <v>107.97311028779086</v>
      </c>
      <c r="C277" s="23">
        <f t="shared" si="18"/>
        <v>102.61794205585767</v>
      </c>
      <c r="D277" s="23">
        <f t="shared" si="16"/>
        <v>5.3551682319331846</v>
      </c>
      <c r="E277" s="31">
        <f t="shared" si="19"/>
        <v>4210.890891724046</v>
      </c>
    </row>
    <row r="278" spans="1:5" s="22" customFormat="1" x14ac:dyDescent="0.2">
      <c r="A278" s="22">
        <v>261</v>
      </c>
      <c r="B278" s="23">
        <f t="shared" si="17"/>
        <v>107.97311028779086</v>
      </c>
      <c r="C278" s="23">
        <f t="shared" si="18"/>
        <v>102.74534097040733</v>
      </c>
      <c r="D278" s="23">
        <f t="shared" si="16"/>
        <v>5.2277693173835349</v>
      </c>
      <c r="E278" s="31">
        <f t="shared" si="19"/>
        <v>4108.1455507536384</v>
      </c>
    </row>
    <row r="279" spans="1:5" s="22" customFormat="1" x14ac:dyDescent="0.2">
      <c r="A279" s="22">
        <v>262</v>
      </c>
      <c r="B279" s="23">
        <f t="shared" si="17"/>
        <v>107.97311028779086</v>
      </c>
      <c r="C279" s="23">
        <f t="shared" si="18"/>
        <v>102.87289804914448</v>
      </c>
      <c r="D279" s="23">
        <f t="shared" si="16"/>
        <v>5.1002122386463808</v>
      </c>
      <c r="E279" s="31">
        <f t="shared" si="19"/>
        <v>4005.2726527044938</v>
      </c>
    </row>
    <row r="280" spans="1:5" s="22" customFormat="1" x14ac:dyDescent="0.2">
      <c r="A280" s="22">
        <v>263</v>
      </c>
      <c r="B280" s="23">
        <f t="shared" si="17"/>
        <v>107.97311028779086</v>
      </c>
      <c r="C280" s="23">
        <f t="shared" si="18"/>
        <v>103.00061348842803</v>
      </c>
      <c r="D280" s="23">
        <f t="shared" si="16"/>
        <v>4.9724967993628297</v>
      </c>
      <c r="E280" s="31">
        <f t="shared" si="19"/>
        <v>3902.2720392160659</v>
      </c>
    </row>
    <row r="281" spans="1:5" s="22" customFormat="1" x14ac:dyDescent="0.2">
      <c r="A281" s="22">
        <v>264</v>
      </c>
      <c r="B281" s="23">
        <f t="shared" si="17"/>
        <v>107.97311028779086</v>
      </c>
      <c r="C281" s="23">
        <f t="shared" si="18"/>
        <v>103.12848748486066</v>
      </c>
      <c r="D281" s="23">
        <f t="shared" si="16"/>
        <v>4.844622802930207</v>
      </c>
      <c r="E281" s="31">
        <f t="shared" si="19"/>
        <v>3799.1435517312052</v>
      </c>
    </row>
    <row r="282" spans="1:5" s="22" customFormat="1" x14ac:dyDescent="0.2">
      <c r="A282" s="22">
        <v>265</v>
      </c>
      <c r="B282" s="23">
        <f t="shared" si="17"/>
        <v>107.97311028779086</v>
      </c>
      <c r="C282" s="23">
        <f t="shared" si="18"/>
        <v>103.2565202352891</v>
      </c>
      <c r="D282" s="23">
        <f t="shared" si="16"/>
        <v>4.7165900525017594</v>
      </c>
      <c r="E282" s="31">
        <f t="shared" si="19"/>
        <v>3695.8870314959163</v>
      </c>
    </row>
    <row r="283" spans="1:5" s="22" customFormat="1" x14ac:dyDescent="0.2">
      <c r="A283" s="22">
        <v>266</v>
      </c>
      <c r="B283" s="23">
        <f t="shared" si="17"/>
        <v>107.97311028779086</v>
      </c>
      <c r="C283" s="23">
        <f t="shared" si="18"/>
        <v>103.38471193680451</v>
      </c>
      <c r="D283" s="23">
        <f t="shared" si="16"/>
        <v>4.5883983509863526</v>
      </c>
      <c r="E283" s="31">
        <f t="shared" si="19"/>
        <v>3592.5023195591116</v>
      </c>
    </row>
    <row r="284" spans="1:5" s="22" customFormat="1" x14ac:dyDescent="0.2">
      <c r="A284" s="22">
        <v>267</v>
      </c>
      <c r="B284" s="23">
        <f t="shared" si="17"/>
        <v>107.97311028779086</v>
      </c>
      <c r="C284" s="23">
        <f t="shared" si="18"/>
        <v>103.51306278674269</v>
      </c>
      <c r="D284" s="23">
        <f t="shared" si="16"/>
        <v>4.4600475010481624</v>
      </c>
      <c r="E284" s="31">
        <f t="shared" si="19"/>
        <v>3488.9892567723691</v>
      </c>
    </row>
    <row r="285" spans="1:5" s="22" customFormat="1" x14ac:dyDescent="0.2">
      <c r="A285" s="22">
        <v>268</v>
      </c>
      <c r="B285" s="23">
        <f t="shared" si="17"/>
        <v>107.97311028779086</v>
      </c>
      <c r="C285" s="23">
        <f t="shared" si="18"/>
        <v>103.64157298268448</v>
      </c>
      <c r="D285" s="23">
        <f t="shared" si="16"/>
        <v>4.3315373051063792</v>
      </c>
      <c r="E285" s="31">
        <f t="shared" si="19"/>
        <v>3385.3476837896847</v>
      </c>
    </row>
    <row r="286" spans="1:5" s="22" customFormat="1" x14ac:dyDescent="0.2">
      <c r="A286" s="22">
        <v>269</v>
      </c>
      <c r="B286" s="23">
        <f t="shared" si="17"/>
        <v>107.97311028779086</v>
      </c>
      <c r="C286" s="23">
        <f t="shared" si="18"/>
        <v>103.77024272245596</v>
      </c>
      <c r="D286" s="23">
        <f t="shared" si="16"/>
        <v>4.2028675653348957</v>
      </c>
      <c r="E286" s="31">
        <f t="shared" si="19"/>
        <v>3281.5774410672288</v>
      </c>
    </row>
    <row r="287" spans="1:5" s="22" customFormat="1" x14ac:dyDescent="0.2">
      <c r="A287" s="22">
        <v>270</v>
      </c>
      <c r="B287" s="23">
        <f t="shared" si="17"/>
        <v>107.97311028779086</v>
      </c>
      <c r="C287" s="23">
        <f t="shared" si="18"/>
        <v>103.89907220412886</v>
      </c>
      <c r="D287" s="23">
        <f t="shared" si="16"/>
        <v>4.0740380836620069</v>
      </c>
      <c r="E287" s="31">
        <f t="shared" si="19"/>
        <v>3177.6783688630999</v>
      </c>
    </row>
    <row r="288" spans="1:5" s="22" customFormat="1" x14ac:dyDescent="0.2">
      <c r="A288" s="22">
        <v>271</v>
      </c>
      <c r="B288" s="23">
        <f t="shared" si="17"/>
        <v>107.97311028779086</v>
      </c>
      <c r="C288" s="23">
        <f t="shared" si="18"/>
        <v>104.02806162602076</v>
      </c>
      <c r="D288" s="23">
        <f t="shared" si="16"/>
        <v>3.9450486617701048</v>
      </c>
      <c r="E288" s="31">
        <f t="shared" si="19"/>
        <v>3073.6503072370792</v>
      </c>
    </row>
    <row r="289" spans="1:5" s="22" customFormat="1" x14ac:dyDescent="0.2">
      <c r="A289" s="22">
        <v>272</v>
      </c>
      <c r="B289" s="23">
        <f t="shared" si="17"/>
        <v>107.97311028779086</v>
      </c>
      <c r="C289" s="23">
        <f t="shared" si="18"/>
        <v>104.15721118669549</v>
      </c>
      <c r="D289" s="23">
        <f t="shared" si="16"/>
        <v>3.815899101095372</v>
      </c>
      <c r="E289" s="31">
        <f t="shared" si="19"/>
        <v>2969.4930960503839</v>
      </c>
    </row>
    <row r="290" spans="1:5" s="22" customFormat="1" x14ac:dyDescent="0.2">
      <c r="A290" s="22">
        <v>273</v>
      </c>
      <c r="B290" s="23">
        <f t="shared" si="17"/>
        <v>107.97311028779086</v>
      </c>
      <c r="C290" s="23">
        <f t="shared" si="18"/>
        <v>104.28652108496338</v>
      </c>
      <c r="D290" s="23">
        <f t="shared" si="16"/>
        <v>3.6865892028274767</v>
      </c>
      <c r="E290" s="31">
        <f t="shared" si="19"/>
        <v>2865.2065749654207</v>
      </c>
    </row>
    <row r="291" spans="1:5" s="22" customFormat="1" x14ac:dyDescent="0.2">
      <c r="A291" s="22">
        <v>274</v>
      </c>
      <c r="B291" s="23">
        <f t="shared" si="17"/>
        <v>107.97311028779086</v>
      </c>
      <c r="C291" s="23">
        <f t="shared" si="18"/>
        <v>104.41599151988159</v>
      </c>
      <c r="D291" s="23">
        <f t="shared" si="16"/>
        <v>3.5571187679092668</v>
      </c>
      <c r="E291" s="31">
        <f t="shared" si="19"/>
        <v>2760.7905834455391</v>
      </c>
    </row>
    <row r="292" spans="1:5" s="22" customFormat="1" x14ac:dyDescent="0.2">
      <c r="A292" s="22">
        <v>275</v>
      </c>
      <c r="B292" s="23">
        <f t="shared" si="17"/>
        <v>107.97311028779086</v>
      </c>
      <c r="C292" s="23">
        <f t="shared" si="18"/>
        <v>104.5456226907544</v>
      </c>
      <c r="D292" s="23">
        <f t="shared" si="16"/>
        <v>3.4274875970364622</v>
      </c>
      <c r="E292" s="31">
        <f t="shared" si="19"/>
        <v>2656.2449607547846</v>
      </c>
    </row>
    <row r="293" spans="1:5" s="22" customFormat="1" x14ac:dyDescent="0.2">
      <c r="A293" s="22">
        <v>276</v>
      </c>
      <c r="B293" s="23">
        <f t="shared" si="17"/>
        <v>107.97311028779086</v>
      </c>
      <c r="C293" s="23">
        <f t="shared" si="18"/>
        <v>104.67541479713351</v>
      </c>
      <c r="D293" s="23">
        <f t="shared" si="16"/>
        <v>3.2976954906573499</v>
      </c>
      <c r="E293" s="31">
        <f t="shared" si="19"/>
        <v>2551.5695459576509</v>
      </c>
    </row>
    <row r="294" spans="1:5" s="22" customFormat="1" x14ac:dyDescent="0.2">
      <c r="A294" s="22">
        <v>277</v>
      </c>
      <c r="B294" s="23">
        <f t="shared" si="17"/>
        <v>107.97311028779086</v>
      </c>
      <c r="C294" s="23">
        <f t="shared" si="18"/>
        <v>104.80536803881839</v>
      </c>
      <c r="D294" s="23">
        <f t="shared" si="16"/>
        <v>3.167742248972476</v>
      </c>
      <c r="E294" s="31">
        <f t="shared" si="19"/>
        <v>2446.7641779188325</v>
      </c>
    </row>
    <row r="295" spans="1:5" s="22" customFormat="1" x14ac:dyDescent="0.2">
      <c r="A295" s="22">
        <v>278</v>
      </c>
      <c r="B295" s="23">
        <f t="shared" si="17"/>
        <v>107.97311028779086</v>
      </c>
      <c r="C295" s="23">
        <f t="shared" si="18"/>
        <v>104.93548261585653</v>
      </c>
      <c r="D295" s="23">
        <f t="shared" si="16"/>
        <v>3.0376276719343376</v>
      </c>
      <c r="E295" s="31">
        <f t="shared" si="19"/>
        <v>2341.828695302976</v>
      </c>
    </row>
    <row r="296" spans="1:5" s="22" customFormat="1" x14ac:dyDescent="0.2">
      <c r="A296" s="22">
        <v>279</v>
      </c>
      <c r="B296" s="23">
        <f t="shared" si="17"/>
        <v>107.97311028779086</v>
      </c>
      <c r="C296" s="23">
        <f t="shared" si="18"/>
        <v>105.06575872854378</v>
      </c>
      <c r="D296" s="23">
        <f t="shared" si="16"/>
        <v>2.9073515592470751</v>
      </c>
      <c r="E296" s="31">
        <f t="shared" si="19"/>
        <v>2236.7629365744324</v>
      </c>
    </row>
    <row r="297" spans="1:5" s="22" customFormat="1" x14ac:dyDescent="0.2">
      <c r="A297" s="22">
        <v>280</v>
      </c>
      <c r="B297" s="23">
        <f t="shared" si="17"/>
        <v>107.97311028779086</v>
      </c>
      <c r="C297" s="23">
        <f t="shared" si="18"/>
        <v>105.1961965774247</v>
      </c>
      <c r="D297" s="23">
        <f t="shared" si="16"/>
        <v>2.776913710366165</v>
      </c>
      <c r="E297" s="31">
        <f t="shared" si="19"/>
        <v>2131.5667399970075</v>
      </c>
    </row>
    <row r="298" spans="1:5" s="22" customFormat="1" x14ac:dyDescent="0.2">
      <c r="A298" s="22">
        <v>281</v>
      </c>
      <c r="B298" s="23">
        <f t="shared" si="17"/>
        <v>107.97311028779086</v>
      </c>
      <c r="C298" s="23">
        <f t="shared" si="18"/>
        <v>105.32679636329276</v>
      </c>
      <c r="D298" s="23">
        <f t="shared" si="16"/>
        <v>2.6463139244981089</v>
      </c>
      <c r="E298" s="31">
        <f t="shared" si="19"/>
        <v>2026.2399436337148</v>
      </c>
    </row>
    <row r="299" spans="1:5" s="22" customFormat="1" x14ac:dyDescent="0.2">
      <c r="A299" s="22">
        <v>282</v>
      </c>
      <c r="B299" s="23">
        <f t="shared" si="17"/>
        <v>107.97311028779086</v>
      </c>
      <c r="C299" s="23">
        <f t="shared" si="18"/>
        <v>105.45755828719074</v>
      </c>
      <c r="D299" s="23">
        <f t="shared" si="16"/>
        <v>2.5155520006001271</v>
      </c>
      <c r="E299" s="31">
        <f t="shared" si="19"/>
        <v>1920.7823853465241</v>
      </c>
    </row>
    <row r="300" spans="1:5" s="22" customFormat="1" x14ac:dyDescent="0.2">
      <c r="A300" s="22">
        <v>283</v>
      </c>
      <c r="B300" s="23">
        <f t="shared" si="17"/>
        <v>107.97311028779086</v>
      </c>
      <c r="C300" s="23">
        <f t="shared" si="18"/>
        <v>105.58848255041102</v>
      </c>
      <c r="D300" s="23">
        <f t="shared" si="16"/>
        <v>2.3846277373798461</v>
      </c>
      <c r="E300" s="31">
        <f t="shared" si="19"/>
        <v>1815.193902796113</v>
      </c>
    </row>
    <row r="301" spans="1:5" s="22" customFormat="1" x14ac:dyDescent="0.2">
      <c r="A301" s="22">
        <v>284</v>
      </c>
      <c r="B301" s="23">
        <f t="shared" si="17"/>
        <v>107.97311028779086</v>
      </c>
      <c r="C301" s="23">
        <f t="shared" si="18"/>
        <v>105.71956935449586</v>
      </c>
      <c r="D301" s="23">
        <f t="shared" si="16"/>
        <v>2.2535409332949925</v>
      </c>
      <c r="E301" s="31">
        <f t="shared" si="19"/>
        <v>1709.4743334416171</v>
      </c>
    </row>
    <row r="302" spans="1:5" s="22" customFormat="1" x14ac:dyDescent="0.2">
      <c r="A302" s="22">
        <v>285</v>
      </c>
      <c r="B302" s="23">
        <f t="shared" si="17"/>
        <v>107.97311028779086</v>
      </c>
      <c r="C302" s="23">
        <f t="shared" si="18"/>
        <v>105.85081890123779</v>
      </c>
      <c r="D302" s="23">
        <f t="shared" si="16"/>
        <v>2.1222913865530786</v>
      </c>
      <c r="E302" s="31">
        <f t="shared" si="19"/>
        <v>1603.6235145403793</v>
      </c>
    </row>
    <row r="303" spans="1:5" s="22" customFormat="1" x14ac:dyDescent="0.2">
      <c r="A303" s="22">
        <v>286</v>
      </c>
      <c r="B303" s="23">
        <f t="shared" si="17"/>
        <v>107.97311028779086</v>
      </c>
      <c r="C303" s="23">
        <f t="shared" si="18"/>
        <v>105.98223139267976</v>
      </c>
      <c r="D303" s="23">
        <f t="shared" si="16"/>
        <v>1.9908788951110952</v>
      </c>
      <c r="E303" s="31">
        <f t="shared" si="19"/>
        <v>1497.6412831476996</v>
      </c>
    </row>
    <row r="304" spans="1:5" s="22" customFormat="1" x14ac:dyDescent="0.2">
      <c r="A304" s="22">
        <v>287</v>
      </c>
      <c r="B304" s="23">
        <f t="shared" si="17"/>
        <v>107.97311028779086</v>
      </c>
      <c r="C304" s="23">
        <f t="shared" si="18"/>
        <v>106.11380703111566</v>
      </c>
      <c r="D304" s="23">
        <f t="shared" si="16"/>
        <v>1.8593032566751986</v>
      </c>
      <c r="E304" s="31">
        <f t="shared" si="19"/>
        <v>1391.527476116584</v>
      </c>
    </row>
    <row r="305" spans="1:5" s="22" customFormat="1" x14ac:dyDescent="0.2">
      <c r="A305" s="22">
        <v>288</v>
      </c>
      <c r="B305" s="23">
        <f t="shared" si="17"/>
        <v>107.97311028779086</v>
      </c>
      <c r="C305" s="23">
        <f t="shared" si="18"/>
        <v>106.24554601909045</v>
      </c>
      <c r="D305" s="23">
        <f t="shared" si="16"/>
        <v>1.7275642687004</v>
      </c>
      <c r="E305" s="31">
        <f t="shared" si="19"/>
        <v>1285.2819300974936</v>
      </c>
    </row>
    <row r="306" spans="1:5" s="22" customFormat="1" x14ac:dyDescent="0.2">
      <c r="A306" s="22">
        <v>289</v>
      </c>
      <c r="B306" s="23">
        <f t="shared" si="17"/>
        <v>107.97311028779086</v>
      </c>
      <c r="C306" s="23">
        <f t="shared" si="18"/>
        <v>106.37744855940061</v>
      </c>
      <c r="D306" s="23">
        <f t="shared" si="16"/>
        <v>1.5956617283902532</v>
      </c>
      <c r="E306" s="31">
        <f t="shared" si="19"/>
        <v>1178.904481538093</v>
      </c>
    </row>
    <row r="307" spans="1:5" s="22" customFormat="1" x14ac:dyDescent="0.2">
      <c r="A307" s="22">
        <v>290</v>
      </c>
      <c r="B307" s="23">
        <f t="shared" si="17"/>
        <v>107.97311028779086</v>
      </c>
      <c r="C307" s="23">
        <f t="shared" si="18"/>
        <v>106.50951485509432</v>
      </c>
      <c r="D307" s="23">
        <f t="shared" si="16"/>
        <v>1.4635954326965428</v>
      </c>
      <c r="E307" s="31">
        <f t="shared" si="19"/>
        <v>1072.3949666829988</v>
      </c>
    </row>
    <row r="308" spans="1:5" s="22" customFormat="1" x14ac:dyDescent="0.2">
      <c r="A308" s="22">
        <v>291</v>
      </c>
      <c r="B308" s="23">
        <f t="shared" si="17"/>
        <v>107.97311028779086</v>
      </c>
      <c r="C308" s="23">
        <f t="shared" si="18"/>
        <v>106.64174510947188</v>
      </c>
      <c r="D308" s="23">
        <f t="shared" si="16"/>
        <v>1.3313651783189717</v>
      </c>
      <c r="E308" s="31">
        <f t="shared" si="19"/>
        <v>965.75322157352684</v>
      </c>
    </row>
    <row r="309" spans="1:5" s="22" customFormat="1" x14ac:dyDescent="0.2">
      <c r="A309" s="22">
        <v>292</v>
      </c>
      <c r="B309" s="23">
        <f t="shared" si="17"/>
        <v>107.97311028779086</v>
      </c>
      <c r="C309" s="23">
        <f t="shared" si="18"/>
        <v>106.77413952608602</v>
      </c>
      <c r="D309" s="23">
        <f t="shared" si="16"/>
        <v>1.198970761704848</v>
      </c>
      <c r="E309" s="31">
        <f t="shared" si="19"/>
        <v>858.97908204744078</v>
      </c>
    </row>
    <row r="310" spans="1:5" s="22" customFormat="1" x14ac:dyDescent="0.2">
      <c r="A310" s="22">
        <v>293</v>
      </c>
      <c r="B310" s="23">
        <f t="shared" si="17"/>
        <v>107.97311028779086</v>
      </c>
      <c r="C310" s="23">
        <f t="shared" si="18"/>
        <v>106.90669830874209</v>
      </c>
      <c r="D310" s="23">
        <f t="shared" si="16"/>
        <v>1.0664119790487712</v>
      </c>
      <c r="E310" s="31">
        <f t="shared" si="19"/>
        <v>752.0723837386987</v>
      </c>
    </row>
    <row r="311" spans="1:5" s="22" customFormat="1" x14ac:dyDescent="0.2">
      <c r="A311" s="22">
        <v>294</v>
      </c>
      <c r="B311" s="23">
        <f t="shared" si="17"/>
        <v>107.97311028779086</v>
      </c>
      <c r="C311" s="23">
        <f t="shared" si="18"/>
        <v>107.03942166149854</v>
      </c>
      <c r="D311" s="23">
        <f t="shared" si="16"/>
        <v>0.93368862629231941</v>
      </c>
      <c r="E311" s="31">
        <f t="shared" si="19"/>
        <v>645.03296207720018</v>
      </c>
    </row>
    <row r="312" spans="1:5" s="22" customFormat="1" x14ac:dyDescent="0.2">
      <c r="A312" s="22">
        <v>295</v>
      </c>
      <c r="B312" s="23">
        <f t="shared" si="17"/>
        <v>107.97311028779086</v>
      </c>
      <c r="C312" s="23">
        <f t="shared" si="18"/>
        <v>107.17230978866712</v>
      </c>
      <c r="D312" s="23">
        <f t="shared" si="16"/>
        <v>0.80080049912373463</v>
      </c>
      <c r="E312" s="31">
        <f t="shared" si="19"/>
        <v>537.86065228853306</v>
      </c>
    </row>
    <row r="313" spans="1:5" s="22" customFormat="1" x14ac:dyDescent="0.2">
      <c r="A313" s="22">
        <v>296</v>
      </c>
      <c r="B313" s="23">
        <f t="shared" si="17"/>
        <v>107.97311028779086</v>
      </c>
      <c r="C313" s="23">
        <f t="shared" si="18"/>
        <v>107.30536289481326</v>
      </c>
      <c r="D313" s="23">
        <f t="shared" si="16"/>
        <v>0.6677473929776081</v>
      </c>
      <c r="E313" s="31">
        <f t="shared" si="19"/>
        <v>430.55528939371982</v>
      </c>
    </row>
    <row r="314" spans="1:5" s="22" customFormat="1" x14ac:dyDescent="0.2">
      <c r="A314" s="22">
        <v>297</v>
      </c>
      <c r="B314" s="23">
        <f t="shared" si="17"/>
        <v>107.97311028779086</v>
      </c>
      <c r="C314" s="23">
        <f t="shared" si="18"/>
        <v>107.43858118475629</v>
      </c>
      <c r="D314" s="23">
        <f t="shared" si="16"/>
        <v>0.53452910303456569</v>
      </c>
      <c r="E314" s="31">
        <f t="shared" si="19"/>
        <v>323.11670820896353</v>
      </c>
    </row>
    <row r="315" spans="1:5" s="22" customFormat="1" x14ac:dyDescent="0.2">
      <c r="A315" s="22">
        <v>298</v>
      </c>
      <c r="B315" s="23">
        <f t="shared" si="17"/>
        <v>107.97311028779086</v>
      </c>
      <c r="C315" s="23">
        <f t="shared" si="18"/>
        <v>107.5719648635699</v>
      </c>
      <c r="D315" s="23">
        <f t="shared" si="16"/>
        <v>0.40114542422095262</v>
      </c>
      <c r="E315" s="31">
        <f t="shared" si="19"/>
        <v>215.54474334539361</v>
      </c>
    </row>
    <row r="316" spans="1:5" s="22" customFormat="1" x14ac:dyDescent="0.2">
      <c r="A316" s="22">
        <v>299</v>
      </c>
      <c r="B316" s="23">
        <f t="shared" si="17"/>
        <v>107.97311028779086</v>
      </c>
      <c r="C316" s="23">
        <f t="shared" si="18"/>
        <v>107.70551413658234</v>
      </c>
      <c r="D316" s="23">
        <f t="shared" si="16"/>
        <v>0.26759615120851765</v>
      </c>
      <c r="E316" s="31">
        <f t="shared" si="19"/>
        <v>107.83922920881128</v>
      </c>
    </row>
    <row r="317" spans="1:5" s="22" customFormat="1" x14ac:dyDescent="0.2">
      <c r="A317" s="22">
        <v>300</v>
      </c>
      <c r="B317" s="23">
        <f t="shared" si="17"/>
        <v>107.97311028779086</v>
      </c>
      <c r="C317" s="23">
        <f t="shared" si="18"/>
        <v>107.83922920937677</v>
      </c>
      <c r="D317" s="23">
        <f t="shared" si="16"/>
        <v>0.13388107841409699</v>
      </c>
      <c r="E317" s="31">
        <f t="shared" si="19"/>
        <v>-5.6549254168203333E-10</v>
      </c>
    </row>
  </sheetData>
  <conditionalFormatting sqref="A17:A317">
    <cfRule type="expression" dxfId="14" priority="1">
      <formula>E17&lt;-0.01</formula>
    </cfRule>
  </conditionalFormatting>
  <conditionalFormatting sqref="B17:B317">
    <cfRule type="expression" dxfId="13" priority="2">
      <formula>E17&lt;-0.01</formula>
    </cfRule>
  </conditionalFormatting>
  <conditionalFormatting sqref="C17:C317">
    <cfRule type="expression" dxfId="12" priority="3">
      <formula>E17&lt;-0.01</formula>
    </cfRule>
  </conditionalFormatting>
  <conditionalFormatting sqref="D17:D317">
    <cfRule type="expression" dxfId="11" priority="4">
      <formula>E17&lt;-0.01</formula>
    </cfRule>
  </conditionalFormatting>
  <conditionalFormatting sqref="E17:E317">
    <cfRule type="expression" dxfId="10" priority="5">
      <formula>E17&lt;-0.01</formula>
    </cfRule>
  </conditionalFormatting>
  <pageMargins left="0.7" right="0.7" top="0.75" bottom="0.75" header="0.3" footer="0.3"/>
  <pageSetup paperSize="9" scale="4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I318"/>
  <sheetViews>
    <sheetView workbookViewId="0">
      <selection activeCell="H25" sqref="H25"/>
    </sheetView>
  </sheetViews>
  <sheetFormatPr defaultRowHeight="12.75" x14ac:dyDescent="0.2"/>
  <cols>
    <col min="1" max="5" width="29.7109375" style="15" customWidth="1"/>
    <col min="6" max="6" width="4.85546875" style="15" customWidth="1"/>
    <col min="7" max="7" width="28.5703125" style="15" customWidth="1"/>
    <col min="8" max="8" width="23.28515625" style="15" customWidth="1"/>
    <col min="9" max="255" width="9.140625" style="15"/>
    <col min="256" max="260" width="18.140625" style="15" customWidth="1"/>
    <col min="261" max="263" width="9.140625" style="15"/>
    <col min="264" max="264" width="13.85546875" style="15" customWidth="1"/>
    <col min="265" max="511" width="9.140625" style="15"/>
    <col min="512" max="516" width="18.140625" style="15" customWidth="1"/>
    <col min="517" max="519" width="9.140625" style="15"/>
    <col min="520" max="520" width="13.85546875" style="15" customWidth="1"/>
    <col min="521" max="767" width="9.140625" style="15"/>
    <col min="768" max="772" width="18.140625" style="15" customWidth="1"/>
    <col min="773" max="775" width="9.140625" style="15"/>
    <col min="776" max="776" width="13.85546875" style="15" customWidth="1"/>
    <col min="777" max="1023" width="9.140625" style="15"/>
    <col min="1024" max="1028" width="18.140625" style="15" customWidth="1"/>
    <col min="1029" max="1031" width="9.140625" style="15"/>
    <col min="1032" max="1032" width="13.85546875" style="15" customWidth="1"/>
    <col min="1033" max="1279" width="9.140625" style="15"/>
    <col min="1280" max="1284" width="18.140625" style="15" customWidth="1"/>
    <col min="1285" max="1287" width="9.140625" style="15"/>
    <col min="1288" max="1288" width="13.85546875" style="15" customWidth="1"/>
    <col min="1289" max="1535" width="9.140625" style="15"/>
    <col min="1536" max="1540" width="18.140625" style="15" customWidth="1"/>
    <col min="1541" max="1543" width="9.140625" style="15"/>
    <col min="1544" max="1544" width="13.85546875" style="15" customWidth="1"/>
    <col min="1545" max="1791" width="9.140625" style="15"/>
    <col min="1792" max="1796" width="18.140625" style="15" customWidth="1"/>
    <col min="1797" max="1799" width="9.140625" style="15"/>
    <col min="1800" max="1800" width="13.85546875" style="15" customWidth="1"/>
    <col min="1801" max="2047" width="9.140625" style="15"/>
    <col min="2048" max="2052" width="18.140625" style="15" customWidth="1"/>
    <col min="2053" max="2055" width="9.140625" style="15"/>
    <col min="2056" max="2056" width="13.85546875" style="15" customWidth="1"/>
    <col min="2057" max="2303" width="9.140625" style="15"/>
    <col min="2304" max="2308" width="18.140625" style="15" customWidth="1"/>
    <col min="2309" max="2311" width="9.140625" style="15"/>
    <col min="2312" max="2312" width="13.85546875" style="15" customWidth="1"/>
    <col min="2313" max="2559" width="9.140625" style="15"/>
    <col min="2560" max="2564" width="18.140625" style="15" customWidth="1"/>
    <col min="2565" max="2567" width="9.140625" style="15"/>
    <col min="2568" max="2568" width="13.85546875" style="15" customWidth="1"/>
    <col min="2569" max="2815" width="9.140625" style="15"/>
    <col min="2816" max="2820" width="18.140625" style="15" customWidth="1"/>
    <col min="2821" max="2823" width="9.140625" style="15"/>
    <col min="2824" max="2824" width="13.85546875" style="15" customWidth="1"/>
    <col min="2825" max="3071" width="9.140625" style="15"/>
    <col min="3072" max="3076" width="18.140625" style="15" customWidth="1"/>
    <col min="3077" max="3079" width="9.140625" style="15"/>
    <col min="3080" max="3080" width="13.85546875" style="15" customWidth="1"/>
    <col min="3081" max="3327" width="9.140625" style="15"/>
    <col min="3328" max="3332" width="18.140625" style="15" customWidth="1"/>
    <col min="3333" max="3335" width="9.140625" style="15"/>
    <col min="3336" max="3336" width="13.85546875" style="15" customWidth="1"/>
    <col min="3337" max="3583" width="9.140625" style="15"/>
    <col min="3584" max="3588" width="18.140625" style="15" customWidth="1"/>
    <col min="3589" max="3591" width="9.140625" style="15"/>
    <col min="3592" max="3592" width="13.85546875" style="15" customWidth="1"/>
    <col min="3593" max="3839" width="9.140625" style="15"/>
    <col min="3840" max="3844" width="18.140625" style="15" customWidth="1"/>
    <col min="3845" max="3847" width="9.140625" style="15"/>
    <col min="3848" max="3848" width="13.85546875" style="15" customWidth="1"/>
    <col min="3849" max="4095" width="9.140625" style="15"/>
    <col min="4096" max="4100" width="18.140625" style="15" customWidth="1"/>
    <col min="4101" max="4103" width="9.140625" style="15"/>
    <col min="4104" max="4104" width="13.85546875" style="15" customWidth="1"/>
    <col min="4105" max="4351" width="9.140625" style="15"/>
    <col min="4352" max="4356" width="18.140625" style="15" customWidth="1"/>
    <col min="4357" max="4359" width="9.140625" style="15"/>
    <col min="4360" max="4360" width="13.85546875" style="15" customWidth="1"/>
    <col min="4361" max="4607" width="9.140625" style="15"/>
    <col min="4608" max="4612" width="18.140625" style="15" customWidth="1"/>
    <col min="4613" max="4615" width="9.140625" style="15"/>
    <col min="4616" max="4616" width="13.85546875" style="15" customWidth="1"/>
    <col min="4617" max="4863" width="9.140625" style="15"/>
    <col min="4864" max="4868" width="18.140625" style="15" customWidth="1"/>
    <col min="4869" max="4871" width="9.140625" style="15"/>
    <col min="4872" max="4872" width="13.85546875" style="15" customWidth="1"/>
    <col min="4873" max="5119" width="9.140625" style="15"/>
    <col min="5120" max="5124" width="18.140625" style="15" customWidth="1"/>
    <col min="5125" max="5127" width="9.140625" style="15"/>
    <col min="5128" max="5128" width="13.85546875" style="15" customWidth="1"/>
    <col min="5129" max="5375" width="9.140625" style="15"/>
    <col min="5376" max="5380" width="18.140625" style="15" customWidth="1"/>
    <col min="5381" max="5383" width="9.140625" style="15"/>
    <col min="5384" max="5384" width="13.85546875" style="15" customWidth="1"/>
    <col min="5385" max="5631" width="9.140625" style="15"/>
    <col min="5632" max="5636" width="18.140625" style="15" customWidth="1"/>
    <col min="5637" max="5639" width="9.140625" style="15"/>
    <col min="5640" max="5640" width="13.85546875" style="15" customWidth="1"/>
    <col min="5641" max="5887" width="9.140625" style="15"/>
    <col min="5888" max="5892" width="18.140625" style="15" customWidth="1"/>
    <col min="5893" max="5895" width="9.140625" style="15"/>
    <col min="5896" max="5896" width="13.85546875" style="15" customWidth="1"/>
    <col min="5897" max="6143" width="9.140625" style="15"/>
    <col min="6144" max="6148" width="18.140625" style="15" customWidth="1"/>
    <col min="6149" max="6151" width="9.140625" style="15"/>
    <col min="6152" max="6152" width="13.85546875" style="15" customWidth="1"/>
    <col min="6153" max="6399" width="9.140625" style="15"/>
    <col min="6400" max="6404" width="18.140625" style="15" customWidth="1"/>
    <col min="6405" max="6407" width="9.140625" style="15"/>
    <col min="6408" max="6408" width="13.85546875" style="15" customWidth="1"/>
    <col min="6409" max="6655" width="9.140625" style="15"/>
    <col min="6656" max="6660" width="18.140625" style="15" customWidth="1"/>
    <col min="6661" max="6663" width="9.140625" style="15"/>
    <col min="6664" max="6664" width="13.85546875" style="15" customWidth="1"/>
    <col min="6665" max="6911" width="9.140625" style="15"/>
    <col min="6912" max="6916" width="18.140625" style="15" customWidth="1"/>
    <col min="6917" max="6919" width="9.140625" style="15"/>
    <col min="6920" max="6920" width="13.85546875" style="15" customWidth="1"/>
    <col min="6921" max="7167" width="9.140625" style="15"/>
    <col min="7168" max="7172" width="18.140625" style="15" customWidth="1"/>
    <col min="7173" max="7175" width="9.140625" style="15"/>
    <col min="7176" max="7176" width="13.85546875" style="15" customWidth="1"/>
    <col min="7177" max="7423" width="9.140625" style="15"/>
    <col min="7424" max="7428" width="18.140625" style="15" customWidth="1"/>
    <col min="7429" max="7431" width="9.140625" style="15"/>
    <col min="7432" max="7432" width="13.85546875" style="15" customWidth="1"/>
    <col min="7433" max="7679" width="9.140625" style="15"/>
    <col min="7680" max="7684" width="18.140625" style="15" customWidth="1"/>
    <col min="7685" max="7687" width="9.140625" style="15"/>
    <col min="7688" max="7688" width="13.85546875" style="15" customWidth="1"/>
    <col min="7689" max="7935" width="9.140625" style="15"/>
    <col min="7936" max="7940" width="18.140625" style="15" customWidth="1"/>
    <col min="7941" max="7943" width="9.140625" style="15"/>
    <col min="7944" max="7944" width="13.85546875" style="15" customWidth="1"/>
    <col min="7945" max="8191" width="9.140625" style="15"/>
    <col min="8192" max="8196" width="18.140625" style="15" customWidth="1"/>
    <col min="8197" max="8199" width="9.140625" style="15"/>
    <col min="8200" max="8200" width="13.85546875" style="15" customWidth="1"/>
    <col min="8201" max="8447" width="9.140625" style="15"/>
    <col min="8448" max="8452" width="18.140625" style="15" customWidth="1"/>
    <col min="8453" max="8455" width="9.140625" style="15"/>
    <col min="8456" max="8456" width="13.85546875" style="15" customWidth="1"/>
    <col min="8457" max="8703" width="9.140625" style="15"/>
    <col min="8704" max="8708" width="18.140625" style="15" customWidth="1"/>
    <col min="8709" max="8711" width="9.140625" style="15"/>
    <col min="8712" max="8712" width="13.85546875" style="15" customWidth="1"/>
    <col min="8713" max="8959" width="9.140625" style="15"/>
    <col min="8960" max="8964" width="18.140625" style="15" customWidth="1"/>
    <col min="8965" max="8967" width="9.140625" style="15"/>
    <col min="8968" max="8968" width="13.85546875" style="15" customWidth="1"/>
    <col min="8969" max="9215" width="9.140625" style="15"/>
    <col min="9216" max="9220" width="18.140625" style="15" customWidth="1"/>
    <col min="9221" max="9223" width="9.140625" style="15"/>
    <col min="9224" max="9224" width="13.85546875" style="15" customWidth="1"/>
    <col min="9225" max="9471" width="9.140625" style="15"/>
    <col min="9472" max="9476" width="18.140625" style="15" customWidth="1"/>
    <col min="9477" max="9479" width="9.140625" style="15"/>
    <col min="9480" max="9480" width="13.85546875" style="15" customWidth="1"/>
    <col min="9481" max="9727" width="9.140625" style="15"/>
    <col min="9728" max="9732" width="18.140625" style="15" customWidth="1"/>
    <col min="9733" max="9735" width="9.140625" style="15"/>
    <col min="9736" max="9736" width="13.85546875" style="15" customWidth="1"/>
    <col min="9737" max="9983" width="9.140625" style="15"/>
    <col min="9984" max="9988" width="18.140625" style="15" customWidth="1"/>
    <col min="9989" max="9991" width="9.140625" style="15"/>
    <col min="9992" max="9992" width="13.85546875" style="15" customWidth="1"/>
    <col min="9993" max="10239" width="9.140625" style="15"/>
    <col min="10240" max="10244" width="18.140625" style="15" customWidth="1"/>
    <col min="10245" max="10247" width="9.140625" style="15"/>
    <col min="10248" max="10248" width="13.85546875" style="15" customWidth="1"/>
    <col min="10249" max="10495" width="9.140625" style="15"/>
    <col min="10496" max="10500" width="18.140625" style="15" customWidth="1"/>
    <col min="10501" max="10503" width="9.140625" style="15"/>
    <col min="10504" max="10504" width="13.85546875" style="15" customWidth="1"/>
    <col min="10505" max="10751" width="9.140625" style="15"/>
    <col min="10752" max="10756" width="18.140625" style="15" customWidth="1"/>
    <col min="10757" max="10759" width="9.140625" style="15"/>
    <col min="10760" max="10760" width="13.85546875" style="15" customWidth="1"/>
    <col min="10761" max="11007" width="9.140625" style="15"/>
    <col min="11008" max="11012" width="18.140625" style="15" customWidth="1"/>
    <col min="11013" max="11015" width="9.140625" style="15"/>
    <col min="11016" max="11016" width="13.85546875" style="15" customWidth="1"/>
    <col min="11017" max="11263" width="9.140625" style="15"/>
    <col min="11264" max="11268" width="18.140625" style="15" customWidth="1"/>
    <col min="11269" max="11271" width="9.140625" style="15"/>
    <col min="11272" max="11272" width="13.85546875" style="15" customWidth="1"/>
    <col min="11273" max="11519" width="9.140625" style="15"/>
    <col min="11520" max="11524" width="18.140625" style="15" customWidth="1"/>
    <col min="11525" max="11527" width="9.140625" style="15"/>
    <col min="11528" max="11528" width="13.85546875" style="15" customWidth="1"/>
    <col min="11529" max="11775" width="9.140625" style="15"/>
    <col min="11776" max="11780" width="18.140625" style="15" customWidth="1"/>
    <col min="11781" max="11783" width="9.140625" style="15"/>
    <col min="11784" max="11784" width="13.85546875" style="15" customWidth="1"/>
    <col min="11785" max="12031" width="9.140625" style="15"/>
    <col min="12032" max="12036" width="18.140625" style="15" customWidth="1"/>
    <col min="12037" max="12039" width="9.140625" style="15"/>
    <col min="12040" max="12040" width="13.85546875" style="15" customWidth="1"/>
    <col min="12041" max="12287" width="9.140625" style="15"/>
    <col min="12288" max="12292" width="18.140625" style="15" customWidth="1"/>
    <col min="12293" max="12295" width="9.140625" style="15"/>
    <col min="12296" max="12296" width="13.85546875" style="15" customWidth="1"/>
    <col min="12297" max="12543" width="9.140625" style="15"/>
    <col min="12544" max="12548" width="18.140625" style="15" customWidth="1"/>
    <col min="12549" max="12551" width="9.140625" style="15"/>
    <col min="12552" max="12552" width="13.85546875" style="15" customWidth="1"/>
    <col min="12553" max="12799" width="9.140625" style="15"/>
    <col min="12800" max="12804" width="18.140625" style="15" customWidth="1"/>
    <col min="12805" max="12807" width="9.140625" style="15"/>
    <col min="12808" max="12808" width="13.85546875" style="15" customWidth="1"/>
    <col min="12809" max="13055" width="9.140625" style="15"/>
    <col min="13056" max="13060" width="18.140625" style="15" customWidth="1"/>
    <col min="13061" max="13063" width="9.140625" style="15"/>
    <col min="13064" max="13064" width="13.85546875" style="15" customWidth="1"/>
    <col min="13065" max="13311" width="9.140625" style="15"/>
    <col min="13312" max="13316" width="18.140625" style="15" customWidth="1"/>
    <col min="13317" max="13319" width="9.140625" style="15"/>
    <col min="13320" max="13320" width="13.85546875" style="15" customWidth="1"/>
    <col min="13321" max="13567" width="9.140625" style="15"/>
    <col min="13568" max="13572" width="18.140625" style="15" customWidth="1"/>
    <col min="13573" max="13575" width="9.140625" style="15"/>
    <col min="13576" max="13576" width="13.85546875" style="15" customWidth="1"/>
    <col min="13577" max="13823" width="9.140625" style="15"/>
    <col min="13824" max="13828" width="18.140625" style="15" customWidth="1"/>
    <col min="13829" max="13831" width="9.140625" style="15"/>
    <col min="13832" max="13832" width="13.85546875" style="15" customWidth="1"/>
    <col min="13833" max="14079" width="9.140625" style="15"/>
    <col min="14080" max="14084" width="18.140625" style="15" customWidth="1"/>
    <col min="14085" max="14087" width="9.140625" style="15"/>
    <col min="14088" max="14088" width="13.85546875" style="15" customWidth="1"/>
    <col min="14089" max="14335" width="9.140625" style="15"/>
    <col min="14336" max="14340" width="18.140625" style="15" customWidth="1"/>
    <col min="14341" max="14343" width="9.140625" style="15"/>
    <col min="14344" max="14344" width="13.85546875" style="15" customWidth="1"/>
    <col min="14345" max="14591" width="9.140625" style="15"/>
    <col min="14592" max="14596" width="18.140625" style="15" customWidth="1"/>
    <col min="14597" max="14599" width="9.140625" style="15"/>
    <col min="14600" max="14600" width="13.85546875" style="15" customWidth="1"/>
    <col min="14601" max="14847" width="9.140625" style="15"/>
    <col min="14848" max="14852" width="18.140625" style="15" customWidth="1"/>
    <col min="14853" max="14855" width="9.140625" style="15"/>
    <col min="14856" max="14856" width="13.85546875" style="15" customWidth="1"/>
    <col min="14857" max="15103" width="9.140625" style="15"/>
    <col min="15104" max="15108" width="18.140625" style="15" customWidth="1"/>
    <col min="15109" max="15111" width="9.140625" style="15"/>
    <col min="15112" max="15112" width="13.85546875" style="15" customWidth="1"/>
    <col min="15113" max="15359" width="9.140625" style="15"/>
    <col min="15360" max="15364" width="18.140625" style="15" customWidth="1"/>
    <col min="15365" max="15367" width="9.140625" style="15"/>
    <col min="15368" max="15368" width="13.85546875" style="15" customWidth="1"/>
    <col min="15369" max="15615" width="9.140625" style="15"/>
    <col min="15616" max="15620" width="18.140625" style="15" customWidth="1"/>
    <col min="15621" max="15623" width="9.140625" style="15"/>
    <col min="15624" max="15624" width="13.85546875" style="15" customWidth="1"/>
    <col min="15625" max="15871" width="9.140625" style="15"/>
    <col min="15872" max="15876" width="18.140625" style="15" customWidth="1"/>
    <col min="15877" max="15879" width="9.140625" style="15"/>
    <col min="15880" max="15880" width="13.85546875" style="15" customWidth="1"/>
    <col min="15881" max="16127" width="9.140625" style="15"/>
    <col min="16128" max="16132" width="18.140625" style="15" customWidth="1"/>
    <col min="16133" max="16135" width="9.140625" style="15"/>
    <col min="16136" max="16136" width="13.85546875" style="15" customWidth="1"/>
    <col min="16137" max="16384" width="9.140625" style="15"/>
  </cols>
  <sheetData>
    <row r="1" spans="1:9" s="14" customFormat="1" ht="20.25" x14ac:dyDescent="0.3">
      <c r="A1" s="13" t="s">
        <v>162</v>
      </c>
    </row>
    <row r="2" spans="1:9" ht="13.5" customHeight="1" x14ac:dyDescent="0.2">
      <c r="A2" s="15" t="s">
        <v>184</v>
      </c>
    </row>
    <row r="3" spans="1:9" ht="13.5" customHeight="1" x14ac:dyDescent="0.2">
      <c r="A3" s="16"/>
    </row>
    <row r="4" spans="1:9" x14ac:dyDescent="0.2">
      <c r="A4" s="60" t="s">
        <v>109</v>
      </c>
      <c r="B4" s="76">
        <f>Berekening!E43</f>
        <v>9075</v>
      </c>
      <c r="D4" s="60" t="s">
        <v>163</v>
      </c>
      <c r="E4" s="75"/>
      <c r="G4" s="173" t="s">
        <v>185</v>
      </c>
      <c r="H4" s="17" t="s">
        <v>186</v>
      </c>
    </row>
    <row r="5" spans="1:9" x14ac:dyDescent="0.2">
      <c r="A5" s="60" t="s">
        <v>164</v>
      </c>
      <c r="B5" s="59">
        <f>B6*12</f>
        <v>240</v>
      </c>
      <c r="D5" s="133" t="s">
        <v>165</v>
      </c>
      <c r="E5" s="74">
        <f>MAX(B4*1.5%,E14)+(E13*Quotiteiten!C4)</f>
        <v>606</v>
      </c>
      <c r="G5" s="174" t="s">
        <v>187</v>
      </c>
      <c r="H5" s="17" t="s">
        <v>188</v>
      </c>
    </row>
    <row r="6" spans="1:9" x14ac:dyDescent="0.2">
      <c r="A6" s="60" t="s">
        <v>166</v>
      </c>
      <c r="B6" s="162">
        <v>20</v>
      </c>
      <c r="D6" s="133" t="s">
        <v>167</v>
      </c>
      <c r="E6" s="135">
        <f>E5/Quotiteiten!D4</f>
        <v>0.63124999999999998</v>
      </c>
      <c r="H6" s="17" t="s">
        <v>189</v>
      </c>
    </row>
    <row r="7" spans="1:9" x14ac:dyDescent="0.2">
      <c r="A7" s="60" t="s">
        <v>168</v>
      </c>
      <c r="B7" s="77">
        <f>((1+B8)^(1/12))-1</f>
        <v>3.6748094004368514E-3</v>
      </c>
      <c r="H7" s="17" t="s">
        <v>190</v>
      </c>
    </row>
    <row r="8" spans="1:9" x14ac:dyDescent="0.2">
      <c r="A8" s="60" t="s">
        <v>169</v>
      </c>
      <c r="B8" s="164">
        <v>4.4999999999999998E-2</v>
      </c>
      <c r="D8" s="133" t="s">
        <v>170</v>
      </c>
      <c r="E8" s="165">
        <f>MAX(B4*3.5%,E14)+(E13*Quotiteiten!C4)</f>
        <v>606</v>
      </c>
      <c r="H8" s="17" t="s">
        <v>191</v>
      </c>
    </row>
    <row r="9" spans="1:9" x14ac:dyDescent="0.2">
      <c r="A9" s="60" t="s">
        <v>171</v>
      </c>
      <c r="B9" s="76">
        <f>(B4*((1+B8)^(1/12)-1)*((1+B8)^(1/12))^B5)/(((1+B8)^(1/12))^B5-1)</f>
        <v>56.971877529321617</v>
      </c>
      <c r="D9" s="133" t="s">
        <v>172</v>
      </c>
      <c r="E9" s="136">
        <f>E8/Quotiteiten!D4</f>
        <v>0.63124999999999998</v>
      </c>
      <c r="H9" s="17" t="s">
        <v>192</v>
      </c>
    </row>
    <row r="10" spans="1:9" x14ac:dyDescent="0.2">
      <c r="A10" s="60" t="s">
        <v>173</v>
      </c>
      <c r="B10" s="76">
        <f>(B9*B5)-B4</f>
        <v>4598.2506070371874</v>
      </c>
    </row>
    <row r="11" spans="1:9" x14ac:dyDescent="0.2">
      <c r="A11" s="118"/>
      <c r="B11" s="117"/>
      <c r="D11" s="133" t="s">
        <v>174</v>
      </c>
      <c r="E11" s="165">
        <f>MAX(B4*2.5%,E14)+(E13*Quotiteiten!C7)</f>
        <v>546</v>
      </c>
    </row>
    <row r="12" spans="1:9" x14ac:dyDescent="0.2">
      <c r="A12" s="60" t="s">
        <v>175</v>
      </c>
      <c r="B12" s="76">
        <f>B9*B5</f>
        <v>13673.250607037187</v>
      </c>
      <c r="G12" s="173" t="s">
        <v>193</v>
      </c>
      <c r="H12" s="17" t="s">
        <v>194</v>
      </c>
    </row>
    <row r="13" spans="1:9" x14ac:dyDescent="0.2">
      <c r="A13" s="61" t="s">
        <v>176</v>
      </c>
      <c r="B13" s="74">
        <f>B4</f>
        <v>9075</v>
      </c>
      <c r="D13" s="21" t="s">
        <v>177</v>
      </c>
      <c r="E13" s="160">
        <v>6</v>
      </c>
      <c r="G13" s="173"/>
    </row>
    <row r="14" spans="1:9" x14ac:dyDescent="0.2">
      <c r="A14" s="61" t="s">
        <v>178</v>
      </c>
      <c r="B14" s="74">
        <f>B12-B13</f>
        <v>4598.2506070371874</v>
      </c>
      <c r="D14" s="21" t="s">
        <v>179</v>
      </c>
      <c r="E14" s="160">
        <v>546</v>
      </c>
    </row>
    <row r="15" spans="1:9" x14ac:dyDescent="0.2">
      <c r="A15" s="21"/>
      <c r="B15" s="33"/>
      <c r="C15" s="34"/>
      <c r="D15" s="33"/>
      <c r="E15" s="21"/>
    </row>
    <row r="16" spans="1:9" ht="30" customHeight="1" x14ac:dyDescent="0.2">
      <c r="A16" s="18" t="s">
        <v>180</v>
      </c>
      <c r="B16" s="18" t="s">
        <v>181</v>
      </c>
      <c r="C16" s="18" t="s">
        <v>182</v>
      </c>
      <c r="D16" s="18" t="s">
        <v>178</v>
      </c>
      <c r="E16" s="18" t="s">
        <v>183</v>
      </c>
      <c r="I16" s="19"/>
    </row>
    <row r="17" spans="1:9" x14ac:dyDescent="0.2">
      <c r="A17" s="22">
        <v>0</v>
      </c>
      <c r="B17" s="23"/>
      <c r="C17" s="23"/>
      <c r="D17" s="23"/>
      <c r="E17" s="32">
        <f>B4</f>
        <v>9075</v>
      </c>
      <c r="I17" s="19"/>
    </row>
    <row r="18" spans="1:9" s="19" customFormat="1" x14ac:dyDescent="0.2">
      <c r="A18" s="22">
        <v>1</v>
      </c>
      <c r="B18" s="23">
        <f>B$9</f>
        <v>56.971877529321617</v>
      </c>
      <c r="C18" s="23">
        <f>B18-D18</f>
        <v>23.622982220357187</v>
      </c>
      <c r="D18" s="23">
        <f t="shared" ref="D18:D81" si="0">E17*B$7</f>
        <v>33.34889530896443</v>
      </c>
      <c r="E18" s="31">
        <f>E17-C18</f>
        <v>9051.3770177796432</v>
      </c>
    </row>
    <row r="19" spans="1:9" s="19" customFormat="1" x14ac:dyDescent="0.2">
      <c r="A19" s="22">
        <v>2</v>
      </c>
      <c r="B19" s="23">
        <f t="shared" ref="B19:B82" si="1">B$9</f>
        <v>56.971877529321617</v>
      </c>
      <c r="C19" s="23">
        <f t="shared" ref="C19:C82" si="2">B19-D19</f>
        <v>23.709792177486911</v>
      </c>
      <c r="D19" s="23">
        <f t="shared" si="0"/>
        <v>33.262085351834706</v>
      </c>
      <c r="E19" s="31">
        <f t="shared" ref="E19:E82" si="3">E18-C19</f>
        <v>9027.6672256021557</v>
      </c>
    </row>
    <row r="20" spans="1:9" s="19" customFormat="1" x14ac:dyDescent="0.2">
      <c r="A20" s="22">
        <v>3</v>
      </c>
      <c r="B20" s="23">
        <f t="shared" si="1"/>
        <v>56.971877529321617</v>
      </c>
      <c r="C20" s="23">
        <f t="shared" si="2"/>
        <v>23.796921144663145</v>
      </c>
      <c r="D20" s="23">
        <f t="shared" si="0"/>
        <v>33.174956384658472</v>
      </c>
      <c r="E20" s="31">
        <f t="shared" si="3"/>
        <v>9003.8703044574922</v>
      </c>
    </row>
    <row r="21" spans="1:9" s="19" customFormat="1" x14ac:dyDescent="0.2">
      <c r="A21" s="22">
        <v>4</v>
      </c>
      <c r="B21" s="23">
        <f t="shared" si="1"/>
        <v>56.971877529321617</v>
      </c>
      <c r="C21" s="23">
        <f t="shared" si="2"/>
        <v>23.884370294187008</v>
      </c>
      <c r="D21" s="23">
        <f t="shared" si="0"/>
        <v>33.087507235134609</v>
      </c>
      <c r="E21" s="31">
        <f t="shared" si="3"/>
        <v>8979.9859341633055</v>
      </c>
    </row>
    <row r="22" spans="1:9" s="19" customFormat="1" x14ac:dyDescent="0.2">
      <c r="A22" s="22">
        <v>5</v>
      </c>
      <c r="B22" s="23">
        <f t="shared" si="1"/>
        <v>56.971877529321617</v>
      </c>
      <c r="C22" s="23">
        <f t="shared" si="2"/>
        <v>23.972140802667603</v>
      </c>
      <c r="D22" s="23">
        <f t="shared" si="0"/>
        <v>32.999736726654014</v>
      </c>
      <c r="E22" s="31">
        <f t="shared" si="3"/>
        <v>8956.0137933606384</v>
      </c>
    </row>
    <row r="23" spans="1:9" s="19" customFormat="1" x14ac:dyDescent="0.2">
      <c r="A23" s="22">
        <v>6</v>
      </c>
      <c r="B23" s="23">
        <f t="shared" si="1"/>
        <v>56.971877529321617</v>
      </c>
      <c r="C23" s="23">
        <f t="shared" si="2"/>
        <v>24.060233851037836</v>
      </c>
      <c r="D23" s="23">
        <f t="shared" si="0"/>
        <v>32.911643678283781</v>
      </c>
      <c r="E23" s="31">
        <f t="shared" si="3"/>
        <v>8931.9535595096004</v>
      </c>
    </row>
    <row r="24" spans="1:9" s="19" customFormat="1" x14ac:dyDescent="0.2">
      <c r="A24" s="22">
        <v>7</v>
      </c>
      <c r="B24" s="23">
        <f t="shared" si="1"/>
        <v>56.971877529321617</v>
      </c>
      <c r="C24" s="23">
        <f t="shared" si="2"/>
        <v>24.148650624570344</v>
      </c>
      <c r="D24" s="23">
        <f t="shared" si="0"/>
        <v>32.823226904751273</v>
      </c>
      <c r="E24" s="31">
        <f t="shared" si="3"/>
        <v>8907.8049088850294</v>
      </c>
    </row>
    <row r="25" spans="1:9" s="19" customFormat="1" x14ac:dyDescent="0.2">
      <c r="A25" s="22">
        <v>8</v>
      </c>
      <c r="B25" s="23">
        <f t="shared" si="1"/>
        <v>56.971877529321617</v>
      </c>
      <c r="C25" s="23">
        <f t="shared" si="2"/>
        <v>24.237392312893377</v>
      </c>
      <c r="D25" s="23">
        <f t="shared" si="0"/>
        <v>32.73448521642824</v>
      </c>
      <c r="E25" s="31">
        <f t="shared" si="3"/>
        <v>8883.5675165721368</v>
      </c>
    </row>
    <row r="26" spans="1:9" s="19" customFormat="1" x14ac:dyDescent="0.2">
      <c r="A26" s="22">
        <v>9</v>
      </c>
      <c r="B26" s="23">
        <f t="shared" si="1"/>
        <v>56.971877529321617</v>
      </c>
      <c r="C26" s="23">
        <f t="shared" si="2"/>
        <v>24.32646011000687</v>
      </c>
      <c r="D26" s="23">
        <f t="shared" si="0"/>
        <v>32.645417419314747</v>
      </c>
      <c r="E26" s="31">
        <f t="shared" si="3"/>
        <v>8859.2410564621296</v>
      </c>
    </row>
    <row r="27" spans="1:9" s="19" customFormat="1" x14ac:dyDescent="0.2">
      <c r="A27" s="22">
        <v>10</v>
      </c>
      <c r="B27" s="23">
        <f t="shared" si="1"/>
        <v>56.971877529321617</v>
      </c>
      <c r="C27" s="23">
        <f t="shared" si="2"/>
        <v>24.415855214298482</v>
      </c>
      <c r="D27" s="23">
        <f t="shared" si="0"/>
        <v>32.556022315023135</v>
      </c>
      <c r="E27" s="31">
        <f t="shared" si="3"/>
        <v>8834.8252012478315</v>
      </c>
    </row>
    <row r="28" spans="1:9" s="19" customFormat="1" x14ac:dyDescent="0.2">
      <c r="A28" s="22">
        <v>11</v>
      </c>
      <c r="B28" s="23">
        <f t="shared" si="1"/>
        <v>56.971877529321617</v>
      </c>
      <c r="C28" s="23">
        <f t="shared" si="2"/>
        <v>24.505578828559685</v>
      </c>
      <c r="D28" s="23">
        <f t="shared" si="0"/>
        <v>32.466298700761932</v>
      </c>
      <c r="E28" s="31">
        <f t="shared" si="3"/>
        <v>8810.3196224192725</v>
      </c>
    </row>
    <row r="29" spans="1:9" s="19" customFormat="1" x14ac:dyDescent="0.2">
      <c r="A29" s="22">
        <v>12</v>
      </c>
      <c r="B29" s="23">
        <f t="shared" si="1"/>
        <v>56.971877529321617</v>
      </c>
      <c r="C29" s="23">
        <f t="shared" si="2"/>
        <v>24.595632160002026</v>
      </c>
      <c r="D29" s="23">
        <f t="shared" si="0"/>
        <v>32.376245369319591</v>
      </c>
      <c r="E29" s="31">
        <f t="shared" si="3"/>
        <v>8785.7239902592701</v>
      </c>
    </row>
    <row r="30" spans="1:9" s="19" customFormat="1" x14ac:dyDescent="0.2">
      <c r="A30" s="22">
        <v>13</v>
      </c>
      <c r="B30" s="23">
        <f t="shared" si="1"/>
        <v>56.971877529321617</v>
      </c>
      <c r="C30" s="23">
        <f t="shared" si="2"/>
        <v>24.686016420273283</v>
      </c>
      <c r="D30" s="23">
        <f t="shared" si="0"/>
        <v>32.285861109048334</v>
      </c>
      <c r="E30" s="31">
        <f t="shared" si="3"/>
        <v>8761.0379738389965</v>
      </c>
    </row>
    <row r="31" spans="1:9" s="19" customFormat="1" x14ac:dyDescent="0.2">
      <c r="A31" s="22">
        <v>14</v>
      </c>
      <c r="B31" s="23">
        <f t="shared" si="1"/>
        <v>56.971877529321617</v>
      </c>
      <c r="C31" s="23">
        <f t="shared" si="2"/>
        <v>24.776732825473843</v>
      </c>
      <c r="D31" s="23">
        <f t="shared" si="0"/>
        <v>32.195144703847774</v>
      </c>
      <c r="E31" s="31">
        <f t="shared" si="3"/>
        <v>8736.2612410135225</v>
      </c>
    </row>
    <row r="32" spans="1:9" s="19" customFormat="1" x14ac:dyDescent="0.2">
      <c r="A32" s="22">
        <v>15</v>
      </c>
      <c r="B32" s="23">
        <f t="shared" si="1"/>
        <v>56.971877529321617</v>
      </c>
      <c r="C32" s="23">
        <f t="shared" si="2"/>
        <v>24.867782596173008</v>
      </c>
      <c r="D32" s="23">
        <f t="shared" si="0"/>
        <v>32.104094933148609</v>
      </c>
      <c r="E32" s="31">
        <f t="shared" si="3"/>
        <v>8711.3934584173494</v>
      </c>
    </row>
    <row r="33" spans="1:5" s="19" customFormat="1" x14ac:dyDescent="0.2">
      <c r="A33" s="22">
        <v>16</v>
      </c>
      <c r="B33" s="23">
        <f t="shared" si="1"/>
        <v>56.971877529321617</v>
      </c>
      <c r="C33" s="23">
        <f t="shared" si="2"/>
        <v>24.959166957425445</v>
      </c>
      <c r="D33" s="23">
        <f t="shared" si="0"/>
        <v>32.012710571896172</v>
      </c>
      <c r="E33" s="31">
        <f t="shared" si="3"/>
        <v>8686.4342914599238</v>
      </c>
    </row>
    <row r="34" spans="1:5" s="19" customFormat="1" x14ac:dyDescent="0.2">
      <c r="A34" s="22">
        <v>17</v>
      </c>
      <c r="B34" s="23">
        <f t="shared" si="1"/>
        <v>56.971877529321617</v>
      </c>
      <c r="C34" s="23">
        <f t="shared" si="2"/>
        <v>25.050887138787669</v>
      </c>
      <c r="D34" s="23">
        <f t="shared" si="0"/>
        <v>31.920990390533948</v>
      </c>
      <c r="E34" s="31">
        <f t="shared" si="3"/>
        <v>8661.3834043211355</v>
      </c>
    </row>
    <row r="35" spans="1:5" s="19" customFormat="1" x14ac:dyDescent="0.2">
      <c r="A35" s="22">
        <v>18</v>
      </c>
      <c r="B35" s="23">
        <f t="shared" si="1"/>
        <v>56.971877529321617</v>
      </c>
      <c r="C35" s="23">
        <f t="shared" si="2"/>
        <v>25.142944374334569</v>
      </c>
      <c r="D35" s="23">
        <f t="shared" si="0"/>
        <v>31.828933154987048</v>
      </c>
      <c r="E35" s="31">
        <f t="shared" si="3"/>
        <v>8636.2404599468009</v>
      </c>
    </row>
    <row r="36" spans="1:5" s="19" customFormat="1" x14ac:dyDescent="0.2">
      <c r="A36" s="22">
        <v>19</v>
      </c>
      <c r="B36" s="23">
        <f t="shared" si="1"/>
        <v>56.971877529321617</v>
      </c>
      <c r="C36" s="23">
        <f t="shared" si="2"/>
        <v>25.235339902676035</v>
      </c>
      <c r="D36" s="23">
        <f t="shared" si="0"/>
        <v>31.736537626645582</v>
      </c>
      <c r="E36" s="31">
        <f t="shared" si="3"/>
        <v>8611.0051200441249</v>
      </c>
    </row>
    <row r="37" spans="1:5" s="19" customFormat="1" x14ac:dyDescent="0.2">
      <c r="A37" s="22">
        <v>20</v>
      </c>
      <c r="B37" s="23">
        <f t="shared" si="1"/>
        <v>56.971877529321617</v>
      </c>
      <c r="C37" s="23">
        <f t="shared" si="2"/>
        <v>25.32807496697361</v>
      </c>
      <c r="D37" s="23">
        <f t="shared" si="0"/>
        <v>31.643802562348007</v>
      </c>
      <c r="E37" s="31">
        <f t="shared" si="3"/>
        <v>8585.677045077151</v>
      </c>
    </row>
    <row r="38" spans="1:5" s="19" customFormat="1" x14ac:dyDescent="0.2">
      <c r="A38" s="22">
        <v>21</v>
      </c>
      <c r="B38" s="23">
        <f t="shared" si="1"/>
        <v>56.971877529321617</v>
      </c>
      <c r="C38" s="23">
        <f t="shared" si="2"/>
        <v>25.421150814957212</v>
      </c>
      <c r="D38" s="23">
        <f t="shared" si="0"/>
        <v>31.550726714364405</v>
      </c>
      <c r="E38" s="31">
        <f t="shared" si="3"/>
        <v>8560.2558942621945</v>
      </c>
    </row>
    <row r="39" spans="1:5" s="19" customFormat="1" x14ac:dyDescent="0.2">
      <c r="A39" s="22">
        <v>22</v>
      </c>
      <c r="B39" s="23">
        <f t="shared" si="1"/>
        <v>56.971877529321617</v>
      </c>
      <c r="C39" s="23">
        <f t="shared" si="2"/>
        <v>25.51456869894194</v>
      </c>
      <c r="D39" s="23">
        <f t="shared" si="0"/>
        <v>31.457308830379677</v>
      </c>
      <c r="E39" s="31">
        <f t="shared" si="3"/>
        <v>8534.7413255632528</v>
      </c>
    </row>
    <row r="40" spans="1:5" s="19" customFormat="1" x14ac:dyDescent="0.2">
      <c r="A40" s="22">
        <v>23</v>
      </c>
      <c r="B40" s="23">
        <f t="shared" si="1"/>
        <v>56.971877529321617</v>
      </c>
      <c r="C40" s="23">
        <f t="shared" si="2"/>
        <v>25.608329875844902</v>
      </c>
      <c r="D40" s="23">
        <f t="shared" si="0"/>
        <v>31.363547653476715</v>
      </c>
      <c r="E40" s="31">
        <f t="shared" si="3"/>
        <v>8509.1329956874069</v>
      </c>
    </row>
    <row r="41" spans="1:5" s="19" customFormat="1" x14ac:dyDescent="0.2">
      <c r="A41" s="22">
        <v>24</v>
      </c>
      <c r="B41" s="23">
        <f t="shared" si="1"/>
        <v>56.971877529321617</v>
      </c>
      <c r="C41" s="23">
        <f t="shared" si="2"/>
        <v>25.702435607202148</v>
      </c>
      <c r="D41" s="23">
        <f t="shared" si="0"/>
        <v>31.269441922119469</v>
      </c>
      <c r="E41" s="31">
        <f t="shared" si="3"/>
        <v>8483.4305600802054</v>
      </c>
    </row>
    <row r="42" spans="1:5" s="19" customFormat="1" x14ac:dyDescent="0.2">
      <c r="A42" s="22">
        <v>25</v>
      </c>
      <c r="B42" s="23">
        <f t="shared" si="1"/>
        <v>56.971877529321617</v>
      </c>
      <c r="C42" s="23">
        <f t="shared" si="2"/>
        <v>25.796887159185616</v>
      </c>
      <c r="D42" s="23">
        <f t="shared" si="0"/>
        <v>31.174990370136001</v>
      </c>
      <c r="E42" s="31">
        <f t="shared" si="3"/>
        <v>8457.6336729210198</v>
      </c>
    </row>
    <row r="43" spans="1:5" s="19" customFormat="1" x14ac:dyDescent="0.2">
      <c r="A43" s="22">
        <v>26</v>
      </c>
      <c r="B43" s="23">
        <f t="shared" si="1"/>
        <v>56.971877529321617</v>
      </c>
      <c r="C43" s="23">
        <f t="shared" si="2"/>
        <v>25.891685802620199</v>
      </c>
      <c r="D43" s="23">
        <f t="shared" si="0"/>
        <v>31.080191726701418</v>
      </c>
      <c r="E43" s="31">
        <f t="shared" si="3"/>
        <v>8431.7419871183993</v>
      </c>
    </row>
    <row r="44" spans="1:5" s="19" customFormat="1" x14ac:dyDescent="0.2">
      <c r="A44" s="22">
        <v>27</v>
      </c>
      <c r="B44" s="23">
        <f t="shared" si="1"/>
        <v>56.971877529321617</v>
      </c>
      <c r="C44" s="23">
        <f t="shared" si="2"/>
        <v>25.986832813000827</v>
      </c>
      <c r="D44" s="23">
        <f t="shared" si="0"/>
        <v>30.98504471632079</v>
      </c>
      <c r="E44" s="31">
        <f t="shared" si="3"/>
        <v>8405.7551543053978</v>
      </c>
    </row>
    <row r="45" spans="1:5" s="19" customFormat="1" x14ac:dyDescent="0.2">
      <c r="A45" s="22">
        <v>28</v>
      </c>
      <c r="B45" s="23">
        <f t="shared" si="1"/>
        <v>56.971877529321617</v>
      </c>
      <c r="C45" s="23">
        <f t="shared" si="2"/>
        <v>26.082329470509624</v>
      </c>
      <c r="D45" s="23">
        <f t="shared" si="0"/>
        <v>30.889548058811993</v>
      </c>
      <c r="E45" s="31">
        <f t="shared" si="3"/>
        <v>8379.6728248348882</v>
      </c>
    </row>
    <row r="46" spans="1:5" s="19" customFormat="1" x14ac:dyDescent="0.2">
      <c r="A46" s="22">
        <v>29</v>
      </c>
      <c r="B46" s="23">
        <f t="shared" si="1"/>
        <v>56.971877529321617</v>
      </c>
      <c r="C46" s="23">
        <f t="shared" si="2"/>
        <v>26.178177060033143</v>
      </c>
      <c r="D46" s="23">
        <f t="shared" si="0"/>
        <v>30.793700469288474</v>
      </c>
      <c r="E46" s="31">
        <f t="shared" si="3"/>
        <v>8353.4946477748545</v>
      </c>
    </row>
    <row r="47" spans="1:5" s="19" customFormat="1" x14ac:dyDescent="0.2">
      <c r="A47" s="22">
        <v>30</v>
      </c>
      <c r="B47" s="23">
        <f t="shared" si="1"/>
        <v>56.971877529321617</v>
      </c>
      <c r="C47" s="23">
        <f t="shared" si="2"/>
        <v>26.274376871179655</v>
      </c>
      <c r="D47" s="23">
        <f t="shared" si="0"/>
        <v>30.697500658141962</v>
      </c>
      <c r="E47" s="31">
        <f t="shared" si="3"/>
        <v>8327.2202709036756</v>
      </c>
    </row>
    <row r="48" spans="1:5" s="19" customFormat="1" x14ac:dyDescent="0.2">
      <c r="A48" s="22">
        <v>31</v>
      </c>
      <c r="B48" s="23">
        <f t="shared" si="1"/>
        <v>56.971877529321617</v>
      </c>
      <c r="C48" s="23">
        <f t="shared" si="2"/>
        <v>26.370930198296485</v>
      </c>
      <c r="D48" s="23">
        <f t="shared" si="0"/>
        <v>30.600947331025132</v>
      </c>
      <c r="E48" s="31">
        <f t="shared" si="3"/>
        <v>8300.8493407053793</v>
      </c>
    </row>
    <row r="49" spans="1:5" s="19" customFormat="1" x14ac:dyDescent="0.2">
      <c r="A49" s="22">
        <v>32</v>
      </c>
      <c r="B49" s="23">
        <f t="shared" si="1"/>
        <v>56.971877529321617</v>
      </c>
      <c r="C49" s="23">
        <f t="shared" si="2"/>
        <v>26.467838340487447</v>
      </c>
      <c r="D49" s="23">
        <f t="shared" si="0"/>
        <v>30.50403918883417</v>
      </c>
      <c r="E49" s="31">
        <f t="shared" si="3"/>
        <v>8274.3815023648913</v>
      </c>
    </row>
    <row r="50" spans="1:5" s="19" customFormat="1" x14ac:dyDescent="0.2">
      <c r="A50" s="22">
        <v>33</v>
      </c>
      <c r="B50" s="23">
        <f t="shared" si="1"/>
        <v>56.971877529321617</v>
      </c>
      <c r="C50" s="23">
        <f t="shared" si="2"/>
        <v>26.565102601630315</v>
      </c>
      <c r="D50" s="23">
        <f t="shared" si="0"/>
        <v>30.406774927691302</v>
      </c>
      <c r="E50" s="31">
        <f t="shared" si="3"/>
        <v>8247.8163997632619</v>
      </c>
    </row>
    <row r="51" spans="1:5" s="19" customFormat="1" x14ac:dyDescent="0.2">
      <c r="A51" s="22">
        <v>34</v>
      </c>
      <c r="B51" s="23">
        <f t="shared" si="1"/>
        <v>56.971877529321617</v>
      </c>
      <c r="C51" s="23">
        <f t="shared" si="2"/>
        <v>26.662724290394355</v>
      </c>
      <c r="D51" s="23">
        <f t="shared" si="0"/>
        <v>30.309153238927262</v>
      </c>
      <c r="E51" s="31">
        <f t="shared" si="3"/>
        <v>8221.1536754728677</v>
      </c>
    </row>
    <row r="52" spans="1:5" s="19" customFormat="1" x14ac:dyDescent="0.2">
      <c r="A52" s="22">
        <v>35</v>
      </c>
      <c r="B52" s="23">
        <f t="shared" si="1"/>
        <v>56.971877529321617</v>
      </c>
      <c r="C52" s="23">
        <f t="shared" si="2"/>
        <v>26.760704720257952</v>
      </c>
      <c r="D52" s="23">
        <f t="shared" si="0"/>
        <v>30.211172809063665</v>
      </c>
      <c r="E52" s="31">
        <f t="shared" si="3"/>
        <v>8194.3929707526095</v>
      </c>
    </row>
    <row r="53" spans="1:5" s="19" customFormat="1" x14ac:dyDescent="0.2">
      <c r="A53" s="22">
        <v>36</v>
      </c>
      <c r="B53" s="23">
        <f t="shared" si="1"/>
        <v>56.971877529321617</v>
      </c>
      <c r="C53" s="23">
        <f t="shared" si="2"/>
        <v>26.859045209526268</v>
      </c>
      <c r="D53" s="23">
        <f t="shared" si="0"/>
        <v>30.112832319795348</v>
      </c>
      <c r="E53" s="31">
        <f t="shared" si="3"/>
        <v>8167.5339255430836</v>
      </c>
    </row>
    <row r="54" spans="1:5" s="19" customFormat="1" x14ac:dyDescent="0.2">
      <c r="A54" s="22">
        <v>37</v>
      </c>
      <c r="B54" s="23">
        <f t="shared" si="1"/>
        <v>56.971877529321617</v>
      </c>
      <c r="C54" s="23">
        <f t="shared" si="2"/>
        <v>26.957747081348995</v>
      </c>
      <c r="D54" s="23">
        <f t="shared" si="0"/>
        <v>30.014130447972622</v>
      </c>
      <c r="E54" s="31">
        <f t="shared" si="3"/>
        <v>8140.5761784617343</v>
      </c>
    </row>
    <row r="55" spans="1:5" s="19" customFormat="1" x14ac:dyDescent="0.2">
      <c r="A55" s="22">
        <v>38</v>
      </c>
      <c r="B55" s="23">
        <f t="shared" si="1"/>
        <v>56.971877529321617</v>
      </c>
      <c r="C55" s="23">
        <f t="shared" si="2"/>
        <v>27.056811663738134</v>
      </c>
      <c r="D55" s="23">
        <f t="shared" si="0"/>
        <v>29.915065865583482</v>
      </c>
      <c r="E55" s="31">
        <f t="shared" si="3"/>
        <v>8113.5193667979966</v>
      </c>
    </row>
    <row r="56" spans="1:5" s="19" customFormat="1" x14ac:dyDescent="0.2">
      <c r="A56" s="22">
        <v>39</v>
      </c>
      <c r="B56" s="23">
        <f t="shared" si="1"/>
        <v>56.971877529321617</v>
      </c>
      <c r="C56" s="23">
        <f t="shared" si="2"/>
        <v>27.156240289585888</v>
      </c>
      <c r="D56" s="23">
        <f t="shared" si="0"/>
        <v>29.815637239735729</v>
      </c>
      <c r="E56" s="31">
        <f t="shared" si="3"/>
        <v>8086.3631265084105</v>
      </c>
    </row>
    <row r="57" spans="1:5" s="19" customFormat="1" x14ac:dyDescent="0.2">
      <c r="A57" s="22">
        <v>40</v>
      </c>
      <c r="B57" s="23">
        <f t="shared" si="1"/>
        <v>56.971877529321617</v>
      </c>
      <c r="C57" s="23">
        <f t="shared" si="2"/>
        <v>27.256034296682582</v>
      </c>
      <c r="D57" s="23">
        <f t="shared" si="0"/>
        <v>29.715843232639035</v>
      </c>
      <c r="E57" s="31">
        <f t="shared" si="3"/>
        <v>8059.1070922117278</v>
      </c>
    </row>
    <row r="58" spans="1:5" s="19" customFormat="1" x14ac:dyDescent="0.2">
      <c r="A58" s="22">
        <v>41</v>
      </c>
      <c r="B58" s="23">
        <f t="shared" si="1"/>
        <v>56.971877529321617</v>
      </c>
      <c r="C58" s="23">
        <f t="shared" si="2"/>
        <v>27.35619502773466</v>
      </c>
      <c r="D58" s="23">
        <f t="shared" si="0"/>
        <v>29.615682501586956</v>
      </c>
      <c r="E58" s="31">
        <f t="shared" si="3"/>
        <v>8031.7508971839934</v>
      </c>
    </row>
    <row r="59" spans="1:5" s="19" customFormat="1" x14ac:dyDescent="0.2">
      <c r="A59" s="22">
        <v>42</v>
      </c>
      <c r="B59" s="23">
        <f t="shared" si="1"/>
        <v>56.971877529321617</v>
      </c>
      <c r="C59" s="23">
        <f t="shared" si="2"/>
        <v>27.456723830382764</v>
      </c>
      <c r="D59" s="23">
        <f t="shared" si="0"/>
        <v>29.515153698938853</v>
      </c>
      <c r="E59" s="31">
        <f t="shared" si="3"/>
        <v>8004.2941733536109</v>
      </c>
    </row>
    <row r="60" spans="1:5" s="19" customFormat="1" x14ac:dyDescent="0.2">
      <c r="A60" s="22">
        <v>43</v>
      </c>
      <c r="B60" s="23">
        <f t="shared" si="1"/>
        <v>56.971877529321617</v>
      </c>
      <c r="C60" s="23">
        <f t="shared" si="2"/>
        <v>27.557622057219852</v>
      </c>
      <c r="D60" s="23">
        <f t="shared" si="0"/>
        <v>29.414255472101765</v>
      </c>
      <c r="E60" s="31">
        <f t="shared" si="3"/>
        <v>7976.7365512963906</v>
      </c>
    </row>
    <row r="61" spans="1:5" s="19" customFormat="1" x14ac:dyDescent="0.2">
      <c r="A61" s="22">
        <v>44</v>
      </c>
      <c r="B61" s="23">
        <f t="shared" si="1"/>
        <v>56.971877529321617</v>
      </c>
      <c r="C61" s="23">
        <f t="shared" si="2"/>
        <v>27.65889106580941</v>
      </c>
      <c r="D61" s="23">
        <f t="shared" si="0"/>
        <v>29.312986463512207</v>
      </c>
      <c r="E61" s="31">
        <f t="shared" si="3"/>
        <v>7949.0776602305814</v>
      </c>
    </row>
    <row r="62" spans="1:5" s="19" customFormat="1" x14ac:dyDescent="0.2">
      <c r="A62" s="22">
        <v>45</v>
      </c>
      <c r="B62" s="23">
        <f t="shared" si="1"/>
        <v>56.971877529321617</v>
      </c>
      <c r="C62" s="23">
        <f t="shared" si="2"/>
        <v>27.760532218703705</v>
      </c>
      <c r="D62" s="23">
        <f t="shared" si="0"/>
        <v>29.211345310617912</v>
      </c>
      <c r="E62" s="31">
        <f t="shared" si="3"/>
        <v>7921.3171280118777</v>
      </c>
    </row>
    <row r="63" spans="1:5" s="19" customFormat="1" x14ac:dyDescent="0.2">
      <c r="A63" s="22">
        <v>46</v>
      </c>
      <c r="B63" s="23">
        <f t="shared" si="1"/>
        <v>56.971877529321617</v>
      </c>
      <c r="C63" s="23">
        <f t="shared" si="2"/>
        <v>27.862546883462127</v>
      </c>
      <c r="D63" s="23">
        <f t="shared" si="0"/>
        <v>29.10933064585949</v>
      </c>
      <c r="E63" s="31">
        <f t="shared" si="3"/>
        <v>7893.4545811284152</v>
      </c>
    </row>
    <row r="64" spans="1:5" s="19" customFormat="1" x14ac:dyDescent="0.2">
      <c r="A64" s="22">
        <v>47</v>
      </c>
      <c r="B64" s="23">
        <f t="shared" si="1"/>
        <v>56.971877529321617</v>
      </c>
      <c r="C64" s="23">
        <f t="shared" si="2"/>
        <v>27.964936432669589</v>
      </c>
      <c r="D64" s="23">
        <f t="shared" si="0"/>
        <v>29.006941096652028</v>
      </c>
      <c r="E64" s="31">
        <f t="shared" si="3"/>
        <v>7865.4896446957455</v>
      </c>
    </row>
    <row r="65" spans="1:5" s="19" customFormat="1" x14ac:dyDescent="0.2">
      <c r="A65" s="22">
        <v>48</v>
      </c>
      <c r="B65" s="23">
        <f t="shared" si="1"/>
        <v>56.971877529321617</v>
      </c>
      <c r="C65" s="23">
        <f t="shared" si="2"/>
        <v>28.067702243954979</v>
      </c>
      <c r="D65" s="23">
        <f t="shared" si="0"/>
        <v>28.904175285366637</v>
      </c>
      <c r="E65" s="31">
        <f t="shared" si="3"/>
        <v>7837.4219424517905</v>
      </c>
    </row>
    <row r="66" spans="1:5" s="19" customFormat="1" x14ac:dyDescent="0.2">
      <c r="A66" s="22">
        <v>49</v>
      </c>
      <c r="B66" s="23">
        <f t="shared" si="1"/>
        <v>56.971877529321617</v>
      </c>
      <c r="C66" s="23">
        <f t="shared" si="2"/>
        <v>28.170845700009728</v>
      </c>
      <c r="D66" s="23">
        <f t="shared" si="0"/>
        <v>28.801031829311889</v>
      </c>
      <c r="E66" s="31">
        <f t="shared" si="3"/>
        <v>7809.251096751781</v>
      </c>
    </row>
    <row r="67" spans="1:5" s="19" customFormat="1" x14ac:dyDescent="0.2">
      <c r="A67" s="22">
        <v>50</v>
      </c>
      <c r="B67" s="23">
        <f t="shared" si="1"/>
        <v>56.971877529321617</v>
      </c>
      <c r="C67" s="23">
        <f t="shared" si="2"/>
        <v>28.274368188606381</v>
      </c>
      <c r="D67" s="23">
        <f t="shared" si="0"/>
        <v>28.697509340715236</v>
      </c>
      <c r="E67" s="31">
        <f t="shared" si="3"/>
        <v>7780.9767285631742</v>
      </c>
    </row>
    <row r="68" spans="1:5" s="19" customFormat="1" x14ac:dyDescent="0.2">
      <c r="A68" s="22">
        <v>51</v>
      </c>
      <c r="B68" s="23">
        <f t="shared" si="1"/>
        <v>56.971877529321617</v>
      </c>
      <c r="C68" s="23">
        <f t="shared" si="2"/>
        <v>28.378271102617283</v>
      </c>
      <c r="D68" s="23">
        <f t="shared" si="0"/>
        <v>28.593606426704334</v>
      </c>
      <c r="E68" s="31">
        <f t="shared" si="3"/>
        <v>7752.5984574605573</v>
      </c>
    </row>
    <row r="69" spans="1:5" s="19" customFormat="1" x14ac:dyDescent="0.2">
      <c r="A69" s="22">
        <v>52</v>
      </c>
      <c r="B69" s="23">
        <f t="shared" si="1"/>
        <v>56.971877529321617</v>
      </c>
      <c r="C69" s="23">
        <f t="shared" si="2"/>
        <v>28.482555840033328</v>
      </c>
      <c r="D69" s="23">
        <f t="shared" si="0"/>
        <v>28.489321689288289</v>
      </c>
      <c r="E69" s="31">
        <f t="shared" si="3"/>
        <v>7724.1159016205238</v>
      </c>
    </row>
    <row r="70" spans="1:5" s="19" customFormat="1" x14ac:dyDescent="0.2">
      <c r="A70" s="22">
        <v>53</v>
      </c>
      <c r="B70" s="23">
        <f t="shared" si="1"/>
        <v>56.971877529321617</v>
      </c>
      <c r="C70" s="23">
        <f t="shared" si="2"/>
        <v>28.587223803982749</v>
      </c>
      <c r="D70" s="23">
        <f t="shared" si="0"/>
        <v>28.384653725338868</v>
      </c>
      <c r="E70" s="31">
        <f t="shared" si="3"/>
        <v>7695.5286778165409</v>
      </c>
    </row>
    <row r="71" spans="1:5" s="19" customFormat="1" x14ac:dyDescent="0.2">
      <c r="A71" s="22">
        <v>54</v>
      </c>
      <c r="B71" s="23">
        <f t="shared" si="1"/>
        <v>56.971877529321617</v>
      </c>
      <c r="C71" s="23">
        <f t="shared" si="2"/>
        <v>28.692276402750018</v>
      </c>
      <c r="D71" s="23">
        <f t="shared" si="0"/>
        <v>28.279601126571599</v>
      </c>
      <c r="E71" s="31">
        <f t="shared" si="3"/>
        <v>7666.8364014137906</v>
      </c>
    </row>
    <row r="72" spans="1:5" s="19" customFormat="1" x14ac:dyDescent="0.2">
      <c r="A72" s="22">
        <v>55</v>
      </c>
      <c r="B72" s="23">
        <f t="shared" si="1"/>
        <v>56.971877529321617</v>
      </c>
      <c r="C72" s="23">
        <f t="shared" si="2"/>
        <v>28.797715049794778</v>
      </c>
      <c r="D72" s="23">
        <f t="shared" si="0"/>
        <v>28.174162479526839</v>
      </c>
      <c r="E72" s="31">
        <f t="shared" si="3"/>
        <v>7638.038686363996</v>
      </c>
    </row>
    <row r="73" spans="1:5" s="19" customFormat="1" x14ac:dyDescent="0.2">
      <c r="A73" s="22">
        <v>56</v>
      </c>
      <c r="B73" s="23">
        <f t="shared" si="1"/>
        <v>56.971877529321617</v>
      </c>
      <c r="C73" s="23">
        <f t="shared" si="2"/>
        <v>28.903541163770864</v>
      </c>
      <c r="D73" s="23">
        <f t="shared" si="0"/>
        <v>28.068336365550753</v>
      </c>
      <c r="E73" s="31">
        <f t="shared" si="3"/>
        <v>7609.1351452002255</v>
      </c>
    </row>
    <row r="74" spans="1:5" s="19" customFormat="1" x14ac:dyDescent="0.2">
      <c r="A74" s="22">
        <v>57</v>
      </c>
      <c r="B74" s="23">
        <f t="shared" si="1"/>
        <v>56.971877529321617</v>
      </c>
      <c r="C74" s="23">
        <f t="shared" si="2"/>
        <v>29.009756168545401</v>
      </c>
      <c r="D74" s="23">
        <f t="shared" si="0"/>
        <v>27.962121360776216</v>
      </c>
      <c r="E74" s="31">
        <f t="shared" si="3"/>
        <v>7580.1253890316802</v>
      </c>
    </row>
    <row r="75" spans="1:5" s="19" customFormat="1" x14ac:dyDescent="0.2">
      <c r="A75" s="22">
        <v>58</v>
      </c>
      <c r="B75" s="23">
        <f t="shared" si="1"/>
        <v>56.971877529321617</v>
      </c>
      <c r="C75" s="23">
        <f t="shared" si="2"/>
        <v>29.116361493217951</v>
      </c>
      <c r="D75" s="23">
        <f t="shared" si="0"/>
        <v>27.855516036103666</v>
      </c>
      <c r="E75" s="31">
        <f t="shared" si="3"/>
        <v>7551.0090275384619</v>
      </c>
    </row>
    <row r="76" spans="1:5" s="19" customFormat="1" x14ac:dyDescent="0.2">
      <c r="A76" s="22">
        <v>59</v>
      </c>
      <c r="B76" s="23">
        <f t="shared" si="1"/>
        <v>56.971877529321617</v>
      </c>
      <c r="C76" s="23">
        <f t="shared" si="2"/>
        <v>29.223358572139748</v>
      </c>
      <c r="D76" s="23">
        <f t="shared" si="0"/>
        <v>27.748518957181869</v>
      </c>
      <c r="E76" s="31">
        <f t="shared" si="3"/>
        <v>7521.7856689663222</v>
      </c>
    </row>
    <row r="77" spans="1:5" s="19" customFormat="1" x14ac:dyDescent="0.2">
      <c r="A77" s="22">
        <v>60</v>
      </c>
      <c r="B77" s="23">
        <f t="shared" si="1"/>
        <v>56.971877529321617</v>
      </c>
      <c r="C77" s="23">
        <f t="shared" si="2"/>
        <v>29.330748844932984</v>
      </c>
      <c r="D77" s="23">
        <f t="shared" si="0"/>
        <v>27.641128684388633</v>
      </c>
      <c r="E77" s="31">
        <f t="shared" si="3"/>
        <v>7492.4549201213895</v>
      </c>
    </row>
    <row r="78" spans="1:5" s="19" customFormat="1" x14ac:dyDescent="0.2">
      <c r="A78" s="22">
        <v>61</v>
      </c>
      <c r="B78" s="23">
        <f t="shared" si="1"/>
        <v>56.971877529321617</v>
      </c>
      <c r="C78" s="23">
        <f t="shared" si="2"/>
        <v>29.438533756510196</v>
      </c>
      <c r="D78" s="23">
        <f t="shared" si="0"/>
        <v>27.533343772811421</v>
      </c>
      <c r="E78" s="31">
        <f t="shared" si="3"/>
        <v>7463.0163863648795</v>
      </c>
    </row>
    <row r="79" spans="1:5" s="19" customFormat="1" x14ac:dyDescent="0.2">
      <c r="A79" s="22">
        <v>62</v>
      </c>
      <c r="B79" s="23">
        <f t="shared" si="1"/>
        <v>56.971877529321617</v>
      </c>
      <c r="C79" s="23">
        <f t="shared" si="2"/>
        <v>29.546714757093696</v>
      </c>
      <c r="D79" s="23">
        <f t="shared" si="0"/>
        <v>27.425162772227921</v>
      </c>
      <c r="E79" s="31">
        <f t="shared" si="3"/>
        <v>7433.469671607786</v>
      </c>
    </row>
    <row r="80" spans="1:5" s="19" customFormat="1" x14ac:dyDescent="0.2">
      <c r="A80" s="22">
        <v>63</v>
      </c>
      <c r="B80" s="23">
        <f t="shared" si="1"/>
        <v>56.971877529321617</v>
      </c>
      <c r="C80" s="23">
        <f t="shared" si="2"/>
        <v>29.655293302235091</v>
      </c>
      <c r="D80" s="23">
        <f t="shared" si="0"/>
        <v>27.316584227086526</v>
      </c>
      <c r="E80" s="31">
        <f t="shared" si="3"/>
        <v>7403.8143783055511</v>
      </c>
    </row>
    <row r="81" spans="1:5" s="19" customFormat="1" x14ac:dyDescent="0.2">
      <c r="A81" s="22">
        <v>64</v>
      </c>
      <c r="B81" s="23">
        <f t="shared" si="1"/>
        <v>56.971877529321617</v>
      </c>
      <c r="C81" s="23">
        <f t="shared" si="2"/>
        <v>29.764270852834855</v>
      </c>
      <c r="D81" s="23">
        <f t="shared" si="0"/>
        <v>27.207606676486762</v>
      </c>
      <c r="E81" s="31">
        <f t="shared" si="3"/>
        <v>7374.0501074527165</v>
      </c>
    </row>
    <row r="82" spans="1:5" s="19" customFormat="1" x14ac:dyDescent="0.2">
      <c r="A82" s="22">
        <v>65</v>
      </c>
      <c r="B82" s="23">
        <f t="shared" si="1"/>
        <v>56.971877529321617</v>
      </c>
      <c r="C82" s="23">
        <f t="shared" si="2"/>
        <v>29.873648875162001</v>
      </c>
      <c r="D82" s="23">
        <f t="shared" ref="D82:D145" si="4">E81*B$7</f>
        <v>27.098228654159616</v>
      </c>
      <c r="E82" s="31">
        <f t="shared" si="3"/>
        <v>7344.1764585775545</v>
      </c>
    </row>
    <row r="83" spans="1:5" s="19" customFormat="1" x14ac:dyDescent="0.2">
      <c r="A83" s="22">
        <v>66</v>
      </c>
      <c r="B83" s="23">
        <f t="shared" ref="B83:B146" si="5">B$9</f>
        <v>56.971877529321617</v>
      </c>
      <c r="C83" s="23">
        <f t="shared" ref="C83:C146" si="6">B83-D83</f>
        <v>29.983428840873795</v>
      </c>
      <c r="D83" s="23">
        <f t="shared" si="4"/>
        <v>26.988448688447821</v>
      </c>
      <c r="E83" s="31">
        <f t="shared" ref="E83:E146" si="7">E82-C83</f>
        <v>7314.1930297366807</v>
      </c>
    </row>
    <row r="84" spans="1:5" s="19" customFormat="1" x14ac:dyDescent="0.2">
      <c r="A84" s="22">
        <v>67</v>
      </c>
      <c r="B84" s="23">
        <f t="shared" si="5"/>
        <v>56.971877529321617</v>
      </c>
      <c r="C84" s="23">
        <f t="shared" si="6"/>
        <v>30.093612227035567</v>
      </c>
      <c r="D84" s="23">
        <f t="shared" si="4"/>
        <v>26.878265302286049</v>
      </c>
      <c r="E84" s="31">
        <f t="shared" si="7"/>
        <v>7284.0994175096448</v>
      </c>
    </row>
    <row r="85" spans="1:5" s="19" customFormat="1" x14ac:dyDescent="0.2">
      <c r="A85" s="22">
        <v>68</v>
      </c>
      <c r="B85" s="23">
        <f t="shared" si="5"/>
        <v>56.971877529321617</v>
      </c>
      <c r="C85" s="23">
        <f t="shared" si="6"/>
        <v>30.204200516140581</v>
      </c>
      <c r="D85" s="23">
        <f t="shared" si="4"/>
        <v>26.767677013181036</v>
      </c>
      <c r="E85" s="31">
        <f t="shared" si="7"/>
        <v>7253.8952169935046</v>
      </c>
    </row>
    <row r="86" spans="1:5" s="19" customFormat="1" x14ac:dyDescent="0.2">
      <c r="A86" s="22">
        <v>69</v>
      </c>
      <c r="B86" s="23">
        <f t="shared" si="5"/>
        <v>56.971877529321617</v>
      </c>
      <c r="C86" s="23">
        <f t="shared" si="6"/>
        <v>30.31519519612997</v>
      </c>
      <c r="D86" s="23">
        <f t="shared" si="4"/>
        <v>26.656682333191647</v>
      </c>
      <c r="E86" s="31">
        <f t="shared" si="7"/>
        <v>7223.5800217973747</v>
      </c>
    </row>
    <row r="87" spans="1:5" s="19" customFormat="1" x14ac:dyDescent="0.2">
      <c r="A87" s="22">
        <v>70</v>
      </c>
      <c r="B87" s="23">
        <f t="shared" si="5"/>
        <v>56.971877529321617</v>
      </c>
      <c r="C87" s="23">
        <f t="shared" si="6"/>
        <v>30.42659776041279</v>
      </c>
      <c r="D87" s="23">
        <f t="shared" si="4"/>
        <v>26.545279768908827</v>
      </c>
      <c r="E87" s="31">
        <f t="shared" si="7"/>
        <v>7193.153424036962</v>
      </c>
    </row>
    <row r="88" spans="1:5" s="19" customFormat="1" x14ac:dyDescent="0.2">
      <c r="A88" s="22">
        <v>71</v>
      </c>
      <c r="B88" s="23">
        <f t="shared" si="5"/>
        <v>56.971877529321617</v>
      </c>
      <c r="C88" s="23">
        <f t="shared" si="6"/>
        <v>30.538409707886064</v>
      </c>
      <c r="D88" s="23">
        <f t="shared" si="4"/>
        <v>26.433467821435553</v>
      </c>
      <c r="E88" s="31">
        <f t="shared" si="7"/>
        <v>7162.6150143290761</v>
      </c>
    </row>
    <row r="89" spans="1:5" s="19" customFormat="1" x14ac:dyDescent="0.2">
      <c r="A89" s="22">
        <v>72</v>
      </c>
      <c r="B89" s="23">
        <f t="shared" si="5"/>
        <v>56.971877529321617</v>
      </c>
      <c r="C89" s="23">
        <f t="shared" si="6"/>
        <v>30.650632542954995</v>
      </c>
      <c r="D89" s="23">
        <f t="shared" si="4"/>
        <v>26.321244986366622</v>
      </c>
      <c r="E89" s="31">
        <f t="shared" si="7"/>
        <v>7131.9643817861215</v>
      </c>
    </row>
    <row r="90" spans="1:5" s="19" customFormat="1" x14ac:dyDescent="0.2">
      <c r="A90" s="22">
        <v>73</v>
      </c>
      <c r="B90" s="23">
        <f t="shared" si="5"/>
        <v>56.971877529321617</v>
      </c>
      <c r="C90" s="23">
        <f t="shared" si="6"/>
        <v>30.763267775553178</v>
      </c>
      <c r="D90" s="23">
        <f t="shared" si="4"/>
        <v>26.208609753768439</v>
      </c>
      <c r="E90" s="31">
        <f t="shared" si="7"/>
        <v>7101.2011140105687</v>
      </c>
    </row>
    <row r="91" spans="1:5" s="19" customFormat="1" x14ac:dyDescent="0.2">
      <c r="A91" s="22">
        <v>74</v>
      </c>
      <c r="B91" s="23">
        <f t="shared" si="5"/>
        <v>56.971877529321617</v>
      </c>
      <c r="C91" s="23">
        <f t="shared" si="6"/>
        <v>30.876316921162939</v>
      </c>
      <c r="D91" s="23">
        <f t="shared" si="4"/>
        <v>26.095560608158678</v>
      </c>
      <c r="E91" s="31">
        <f t="shared" si="7"/>
        <v>7070.3247970894054</v>
      </c>
    </row>
    <row r="92" spans="1:5" s="19" customFormat="1" x14ac:dyDescent="0.2">
      <c r="A92" s="22">
        <v>75</v>
      </c>
      <c r="B92" s="23">
        <f t="shared" si="5"/>
        <v>56.971877529321617</v>
      </c>
      <c r="C92" s="23">
        <f t="shared" si="6"/>
        <v>30.989781500835697</v>
      </c>
      <c r="D92" s="23">
        <f t="shared" si="4"/>
        <v>25.98209602848592</v>
      </c>
      <c r="E92" s="31">
        <f t="shared" si="7"/>
        <v>7039.3350155885701</v>
      </c>
    </row>
    <row r="93" spans="1:5" s="19" customFormat="1" x14ac:dyDescent="0.2">
      <c r="A93" s="22">
        <v>76</v>
      </c>
      <c r="B93" s="23">
        <f t="shared" si="5"/>
        <v>56.971877529321617</v>
      </c>
      <c r="C93" s="23">
        <f t="shared" si="6"/>
        <v>31.10366304121245</v>
      </c>
      <c r="D93" s="23">
        <f t="shared" si="4"/>
        <v>25.868214488109167</v>
      </c>
      <c r="E93" s="31">
        <f t="shared" si="7"/>
        <v>7008.2313525473573</v>
      </c>
    </row>
    <row r="94" spans="1:5" s="19" customFormat="1" x14ac:dyDescent="0.2">
      <c r="A94" s="22">
        <v>77</v>
      </c>
      <c r="B94" s="23">
        <f t="shared" si="5"/>
        <v>56.971877529321617</v>
      </c>
      <c r="C94" s="23">
        <f t="shared" si="6"/>
        <v>31.217963074544318</v>
      </c>
      <c r="D94" s="23">
        <f t="shared" si="4"/>
        <v>25.753914454777298</v>
      </c>
      <c r="E94" s="31">
        <f t="shared" si="7"/>
        <v>6977.0133894728133</v>
      </c>
    </row>
    <row r="95" spans="1:5" s="19" customFormat="1" x14ac:dyDescent="0.2">
      <c r="A95" s="22">
        <v>78</v>
      </c>
      <c r="B95" s="23">
        <f t="shared" si="5"/>
        <v>56.971877529321617</v>
      </c>
      <c r="C95" s="23">
        <f t="shared" si="6"/>
        <v>31.332683138713143</v>
      </c>
      <c r="D95" s="23">
        <f t="shared" si="4"/>
        <v>25.639194390608473</v>
      </c>
      <c r="E95" s="31">
        <f t="shared" si="7"/>
        <v>6945.6807063341003</v>
      </c>
    </row>
    <row r="96" spans="1:5" s="19" customFormat="1" x14ac:dyDescent="0.2">
      <c r="A96" s="22">
        <v>79</v>
      </c>
      <c r="B96" s="23">
        <f t="shared" si="5"/>
        <v>56.971877529321617</v>
      </c>
      <c r="C96" s="23">
        <f t="shared" si="6"/>
        <v>31.447824777252194</v>
      </c>
      <c r="D96" s="23">
        <f t="shared" si="4"/>
        <v>25.524052752069423</v>
      </c>
      <c r="E96" s="31">
        <f t="shared" si="7"/>
        <v>6914.232881556848</v>
      </c>
    </row>
    <row r="97" spans="1:5" s="19" customFormat="1" x14ac:dyDescent="0.2">
      <c r="A97" s="22">
        <v>80</v>
      </c>
      <c r="B97" s="23">
        <f t="shared" si="5"/>
        <v>56.971877529321617</v>
      </c>
      <c r="C97" s="23">
        <f t="shared" si="6"/>
        <v>31.563389539366934</v>
      </c>
      <c r="D97" s="23">
        <f t="shared" si="4"/>
        <v>25.408487989954683</v>
      </c>
      <c r="E97" s="31">
        <f t="shared" si="7"/>
        <v>6882.6694920174814</v>
      </c>
    </row>
    <row r="98" spans="1:5" s="19" customFormat="1" x14ac:dyDescent="0.2">
      <c r="A98" s="22">
        <v>81</v>
      </c>
      <c r="B98" s="23">
        <f t="shared" si="5"/>
        <v>56.971877529321617</v>
      </c>
      <c r="C98" s="23">
        <f t="shared" si="6"/>
        <v>31.679378979955846</v>
      </c>
      <c r="D98" s="23">
        <f t="shared" si="4"/>
        <v>25.292498549365771</v>
      </c>
      <c r="E98" s="31">
        <f t="shared" si="7"/>
        <v>6850.9901130375256</v>
      </c>
    </row>
    <row r="99" spans="1:5" s="19" customFormat="1" x14ac:dyDescent="0.2">
      <c r="A99" s="22">
        <v>82</v>
      </c>
      <c r="B99" s="23">
        <f t="shared" si="5"/>
        <v>56.971877529321617</v>
      </c>
      <c r="C99" s="23">
        <f t="shared" si="6"/>
        <v>31.79579465963139</v>
      </c>
      <c r="D99" s="23">
        <f t="shared" si="4"/>
        <v>25.176082869690227</v>
      </c>
      <c r="E99" s="31">
        <f t="shared" si="7"/>
        <v>6819.194318377894</v>
      </c>
    </row>
    <row r="100" spans="1:5" s="19" customFormat="1" x14ac:dyDescent="0.2">
      <c r="A100" s="22">
        <v>83</v>
      </c>
      <c r="B100" s="23">
        <f t="shared" si="5"/>
        <v>56.971877529321617</v>
      </c>
      <c r="C100" s="23">
        <f t="shared" si="6"/>
        <v>31.912638144740963</v>
      </c>
      <c r="D100" s="23">
        <f t="shared" si="4"/>
        <v>25.059239384580653</v>
      </c>
      <c r="E100" s="31">
        <f t="shared" si="7"/>
        <v>6787.2816802331527</v>
      </c>
    </row>
    <row r="101" spans="1:5" s="19" customFormat="1" x14ac:dyDescent="0.2">
      <c r="A101" s="22">
        <v>84</v>
      </c>
      <c r="B101" s="23">
        <f t="shared" si="5"/>
        <v>56.971877529321617</v>
      </c>
      <c r="C101" s="23">
        <f t="shared" si="6"/>
        <v>32.029911007387994</v>
      </c>
      <c r="D101" s="23">
        <f t="shared" si="4"/>
        <v>24.941966521933619</v>
      </c>
      <c r="E101" s="31">
        <f t="shared" si="7"/>
        <v>6755.2517692257643</v>
      </c>
    </row>
    <row r="102" spans="1:5" s="19" customFormat="1" x14ac:dyDescent="0.2">
      <c r="A102" s="22">
        <v>85</v>
      </c>
      <c r="B102" s="23">
        <f t="shared" si="5"/>
        <v>56.971877529321617</v>
      </c>
      <c r="C102" s="23">
        <f t="shared" si="6"/>
        <v>32.147614825453104</v>
      </c>
      <c r="D102" s="23">
        <f t="shared" si="4"/>
        <v>24.824262703868509</v>
      </c>
      <c r="E102" s="31">
        <f t="shared" si="7"/>
        <v>6723.104154400311</v>
      </c>
    </row>
    <row r="103" spans="1:5" s="19" customFormat="1" x14ac:dyDescent="0.2">
      <c r="A103" s="22">
        <v>86</v>
      </c>
      <c r="B103" s="23">
        <f t="shared" si="5"/>
        <v>56.971877529321617</v>
      </c>
      <c r="C103" s="23">
        <f t="shared" si="6"/>
        <v>32.265751182615304</v>
      </c>
      <c r="D103" s="23">
        <f t="shared" si="4"/>
        <v>24.706126346706313</v>
      </c>
      <c r="E103" s="31">
        <f t="shared" si="7"/>
        <v>6690.8384032176955</v>
      </c>
    </row>
    <row r="104" spans="1:5" s="19" customFormat="1" x14ac:dyDescent="0.2">
      <c r="A104" s="22">
        <v>87</v>
      </c>
      <c r="B104" s="23">
        <f t="shared" si="5"/>
        <v>56.971877529321617</v>
      </c>
      <c r="C104" s="23">
        <f t="shared" si="6"/>
        <v>32.384321668373332</v>
      </c>
      <c r="D104" s="23">
        <f t="shared" si="4"/>
        <v>24.587555860948282</v>
      </c>
      <c r="E104" s="31">
        <f t="shared" si="7"/>
        <v>6658.4540815493219</v>
      </c>
    </row>
    <row r="105" spans="1:5" s="19" customFormat="1" x14ac:dyDescent="0.2">
      <c r="A105" s="22">
        <v>88</v>
      </c>
      <c r="B105" s="23">
        <f t="shared" si="5"/>
        <v>56.971877529321617</v>
      </c>
      <c r="C105" s="23">
        <f t="shared" si="6"/>
        <v>32.503327878067047</v>
      </c>
      <c r="D105" s="23">
        <f t="shared" si="4"/>
        <v>24.46854965125457</v>
      </c>
      <c r="E105" s="31">
        <f t="shared" si="7"/>
        <v>6625.9507536712545</v>
      </c>
    </row>
    <row r="106" spans="1:5" s="19" customFormat="1" x14ac:dyDescent="0.2">
      <c r="A106" s="22">
        <v>89</v>
      </c>
      <c r="B106" s="23">
        <f t="shared" si="5"/>
        <v>56.971877529321617</v>
      </c>
      <c r="C106" s="23">
        <f t="shared" si="6"/>
        <v>32.62277141289885</v>
      </c>
      <c r="D106" s="23">
        <f t="shared" si="4"/>
        <v>24.349106116422767</v>
      </c>
      <c r="E106" s="31">
        <f t="shared" si="7"/>
        <v>6593.3279822583554</v>
      </c>
    </row>
    <row r="107" spans="1:5" s="19" customFormat="1" x14ac:dyDescent="0.2">
      <c r="A107" s="22">
        <v>90</v>
      </c>
      <c r="B107" s="23">
        <f t="shared" si="5"/>
        <v>56.971877529321617</v>
      </c>
      <c r="C107" s="23">
        <f t="shared" si="6"/>
        <v>32.74265387995527</v>
      </c>
      <c r="D107" s="23">
        <f t="shared" si="4"/>
        <v>24.229223649366343</v>
      </c>
      <c r="E107" s="31">
        <f t="shared" si="7"/>
        <v>6560.5853283783999</v>
      </c>
    </row>
    <row r="108" spans="1:5" s="19" customFormat="1" x14ac:dyDescent="0.2">
      <c r="A108" s="22">
        <v>91</v>
      </c>
      <c r="B108" s="23">
        <f t="shared" si="5"/>
        <v>56.971877529321617</v>
      </c>
      <c r="C108" s="23">
        <f t="shared" si="6"/>
        <v>32.862976892228588</v>
      </c>
      <c r="D108" s="23">
        <f t="shared" si="4"/>
        <v>24.108900637093033</v>
      </c>
      <c r="E108" s="31">
        <f t="shared" si="7"/>
        <v>6527.7223514861716</v>
      </c>
    </row>
    <row r="109" spans="1:5" s="19" customFormat="1" x14ac:dyDescent="0.2">
      <c r="A109" s="22">
        <v>92</v>
      </c>
      <c r="B109" s="23">
        <f t="shared" si="5"/>
        <v>56.971877529321617</v>
      </c>
      <c r="C109" s="23">
        <f t="shared" si="6"/>
        <v>32.983742068638485</v>
      </c>
      <c r="D109" s="23">
        <f t="shared" si="4"/>
        <v>23.988135460683132</v>
      </c>
      <c r="E109" s="31">
        <f t="shared" si="7"/>
        <v>6494.7386094175336</v>
      </c>
    </row>
    <row r="110" spans="1:5" s="19" customFormat="1" x14ac:dyDescent="0.2">
      <c r="A110" s="22">
        <v>93</v>
      </c>
      <c r="B110" s="23">
        <f t="shared" si="5"/>
        <v>56.971877529321617</v>
      </c>
      <c r="C110" s="23">
        <f t="shared" si="6"/>
        <v>33.104951034053897</v>
      </c>
      <c r="D110" s="23">
        <f t="shared" si="4"/>
        <v>23.866926495267716</v>
      </c>
      <c r="E110" s="31">
        <f t="shared" si="7"/>
        <v>6461.63365838348</v>
      </c>
    </row>
    <row r="111" spans="1:5" s="19" customFormat="1" x14ac:dyDescent="0.2">
      <c r="A111" s="22">
        <v>94</v>
      </c>
      <c r="B111" s="23">
        <f t="shared" si="5"/>
        <v>56.971877529321617</v>
      </c>
      <c r="C111" s="23">
        <f t="shared" si="6"/>
        <v>33.226605419314843</v>
      </c>
      <c r="D111" s="23">
        <f t="shared" si="4"/>
        <v>23.745272110006773</v>
      </c>
      <c r="E111" s="31">
        <f t="shared" si="7"/>
        <v>6428.4070529641649</v>
      </c>
    </row>
    <row r="112" spans="1:5" s="19" customFormat="1" x14ac:dyDescent="0.2">
      <c r="A112" s="22">
        <v>95</v>
      </c>
      <c r="B112" s="23">
        <f t="shared" si="5"/>
        <v>56.971877529321617</v>
      </c>
      <c r="C112" s="23">
        <f t="shared" si="6"/>
        <v>33.348706861254342</v>
      </c>
      <c r="D112" s="23">
        <f t="shared" si="4"/>
        <v>23.623170668067271</v>
      </c>
      <c r="E112" s="31">
        <f t="shared" si="7"/>
        <v>6395.0583461029109</v>
      </c>
    </row>
    <row r="113" spans="1:5" s="19" customFormat="1" x14ac:dyDescent="0.2">
      <c r="A113" s="22">
        <v>96</v>
      </c>
      <c r="B113" s="23">
        <f t="shared" si="5"/>
        <v>56.971877529321617</v>
      </c>
      <c r="C113" s="23">
        <f t="shared" si="6"/>
        <v>33.471257002720492</v>
      </c>
      <c r="D113" s="23">
        <f t="shared" si="4"/>
        <v>23.500620526601121</v>
      </c>
      <c r="E113" s="31">
        <f t="shared" si="7"/>
        <v>6361.5870891001905</v>
      </c>
    </row>
    <row r="114" spans="1:5" s="19" customFormat="1" x14ac:dyDescent="0.2">
      <c r="A114" s="22">
        <v>97</v>
      </c>
      <c r="B114" s="23">
        <f t="shared" si="5"/>
        <v>56.971877529321617</v>
      </c>
      <c r="C114" s="23">
        <f t="shared" si="6"/>
        <v>33.59425749259853</v>
      </c>
      <c r="D114" s="23">
        <f t="shared" si="4"/>
        <v>23.377620036723087</v>
      </c>
      <c r="E114" s="31">
        <f t="shared" si="7"/>
        <v>6327.9928316075921</v>
      </c>
    </row>
    <row r="115" spans="1:5" s="19" customFormat="1" x14ac:dyDescent="0.2">
      <c r="A115" s="22">
        <v>98</v>
      </c>
      <c r="B115" s="23">
        <f t="shared" si="5"/>
        <v>56.971877529321617</v>
      </c>
      <c r="C115" s="23">
        <f t="shared" si="6"/>
        <v>33.717709985833025</v>
      </c>
      <c r="D115" s="23">
        <f t="shared" si="4"/>
        <v>23.254167543488588</v>
      </c>
      <c r="E115" s="31">
        <f t="shared" si="7"/>
        <v>6294.2751216217594</v>
      </c>
    </row>
    <row r="116" spans="1:5" s="19" customFormat="1" x14ac:dyDescent="0.2">
      <c r="A116" s="22">
        <v>99</v>
      </c>
      <c r="B116" s="23">
        <f t="shared" si="5"/>
        <v>56.971877529321617</v>
      </c>
      <c r="C116" s="23">
        <f t="shared" si="6"/>
        <v>33.841616143450167</v>
      </c>
      <c r="D116" s="23">
        <f t="shared" si="4"/>
        <v>23.130261385871449</v>
      </c>
      <c r="E116" s="31">
        <f t="shared" si="7"/>
        <v>6260.4335054783096</v>
      </c>
    </row>
    <row r="117" spans="1:5" s="19" customFormat="1" x14ac:dyDescent="0.2">
      <c r="A117" s="22">
        <v>100</v>
      </c>
      <c r="B117" s="23">
        <f t="shared" si="5"/>
        <v>56.971877529321617</v>
      </c>
      <c r="C117" s="23">
        <f t="shared" si="6"/>
        <v>33.965977632580092</v>
      </c>
      <c r="D117" s="23">
        <f t="shared" si="4"/>
        <v>23.005899896741521</v>
      </c>
      <c r="E117" s="31">
        <f t="shared" si="7"/>
        <v>6226.4675278457298</v>
      </c>
    </row>
    <row r="118" spans="1:5" s="19" customFormat="1" x14ac:dyDescent="0.2">
      <c r="A118" s="22">
        <v>101</v>
      </c>
      <c r="B118" s="23">
        <f t="shared" si="5"/>
        <v>56.971877529321617</v>
      </c>
      <c r="C118" s="23">
        <f t="shared" si="6"/>
        <v>34.090796126479326</v>
      </c>
      <c r="D118" s="23">
        <f t="shared" si="4"/>
        <v>22.881081402842291</v>
      </c>
      <c r="E118" s="31">
        <f t="shared" si="7"/>
        <v>6192.3767317192505</v>
      </c>
    </row>
    <row r="119" spans="1:5" s="19" customFormat="1" x14ac:dyDescent="0.2">
      <c r="A119" s="22">
        <v>102</v>
      </c>
      <c r="B119" s="23">
        <f t="shared" si="5"/>
        <v>56.971877529321617</v>
      </c>
      <c r="C119" s="23">
        <f t="shared" si="6"/>
        <v>34.216073304553291</v>
      </c>
      <c r="D119" s="23">
        <f t="shared" si="4"/>
        <v>22.75580422476833</v>
      </c>
      <c r="E119" s="31">
        <f t="shared" si="7"/>
        <v>6158.1606584146975</v>
      </c>
    </row>
    <row r="120" spans="1:5" s="19" customFormat="1" x14ac:dyDescent="0.2">
      <c r="A120" s="22">
        <v>103</v>
      </c>
      <c r="B120" s="23">
        <f t="shared" si="5"/>
        <v>56.971877529321617</v>
      </c>
      <c r="C120" s="23">
        <f t="shared" si="6"/>
        <v>34.341810852378899</v>
      </c>
      <c r="D120" s="23">
        <f t="shared" si="4"/>
        <v>22.630066676942722</v>
      </c>
      <c r="E120" s="31">
        <f t="shared" si="7"/>
        <v>6123.8188475623183</v>
      </c>
    </row>
    <row r="121" spans="1:5" s="19" customFormat="1" x14ac:dyDescent="0.2">
      <c r="A121" s="22">
        <v>104</v>
      </c>
      <c r="B121" s="23">
        <f t="shared" si="5"/>
        <v>56.971877529321617</v>
      </c>
      <c r="C121" s="23">
        <f t="shared" si="6"/>
        <v>34.468010461727246</v>
      </c>
      <c r="D121" s="23">
        <f t="shared" si="4"/>
        <v>22.503867067594374</v>
      </c>
      <c r="E121" s="31">
        <f t="shared" si="7"/>
        <v>6089.350837100591</v>
      </c>
    </row>
    <row r="122" spans="1:5" s="19" customFormat="1" x14ac:dyDescent="0.2">
      <c r="A122" s="22">
        <v>105</v>
      </c>
      <c r="B122" s="23">
        <f t="shared" si="5"/>
        <v>56.971877529321617</v>
      </c>
      <c r="C122" s="23">
        <f t="shared" si="6"/>
        <v>34.594673830586359</v>
      </c>
      <c r="D122" s="23">
        <f t="shared" si="4"/>
        <v>22.377203698735261</v>
      </c>
      <c r="E122" s="31">
        <f t="shared" si="7"/>
        <v>6054.7561632700044</v>
      </c>
    </row>
    <row r="123" spans="1:5" s="19" customFormat="1" x14ac:dyDescent="0.2">
      <c r="A123" s="22">
        <v>106</v>
      </c>
      <c r="B123" s="23">
        <f t="shared" si="5"/>
        <v>56.971877529321617</v>
      </c>
      <c r="C123" s="23">
        <f t="shared" si="6"/>
        <v>34.721802663184036</v>
      </c>
      <c r="D123" s="23">
        <f t="shared" si="4"/>
        <v>22.250074866137577</v>
      </c>
      <c r="E123" s="31">
        <f t="shared" si="7"/>
        <v>6020.03436060682</v>
      </c>
    </row>
    <row r="124" spans="1:5" s="19" customFormat="1" x14ac:dyDescent="0.2">
      <c r="A124" s="22">
        <v>107</v>
      </c>
      <c r="B124" s="23">
        <f t="shared" si="5"/>
        <v>56.971877529321617</v>
      </c>
      <c r="C124" s="23">
        <f t="shared" si="6"/>
        <v>34.849398670010828</v>
      </c>
      <c r="D124" s="23">
        <f t="shared" si="4"/>
        <v>22.122478859310792</v>
      </c>
      <c r="E124" s="31">
        <f t="shared" si="7"/>
        <v>5985.1849619368095</v>
      </c>
    </row>
    <row r="125" spans="1:5" s="19" customFormat="1" x14ac:dyDescent="0.2">
      <c r="A125" s="22">
        <v>108</v>
      </c>
      <c r="B125" s="23">
        <f t="shared" si="5"/>
        <v>56.971877529321617</v>
      </c>
      <c r="C125" s="23">
        <f t="shared" si="6"/>
        <v>34.977463567842946</v>
      </c>
      <c r="D125" s="23">
        <f t="shared" si="4"/>
        <v>21.994413961478667</v>
      </c>
      <c r="E125" s="31">
        <f t="shared" si="7"/>
        <v>5950.2074983689663</v>
      </c>
    </row>
    <row r="126" spans="1:5" s="19" customFormat="1" x14ac:dyDescent="0.2">
      <c r="A126" s="22">
        <v>109</v>
      </c>
      <c r="B126" s="23">
        <f t="shared" si="5"/>
        <v>56.971877529321617</v>
      </c>
      <c r="C126" s="23">
        <f t="shared" si="6"/>
        <v>35.105999079765496</v>
      </c>
      <c r="D126" s="23">
        <f t="shared" si="4"/>
        <v>21.865878449556117</v>
      </c>
      <c r="E126" s="31">
        <f t="shared" si="7"/>
        <v>5915.1014992892005</v>
      </c>
    </row>
    <row r="127" spans="1:5" s="19" customFormat="1" x14ac:dyDescent="0.2">
      <c r="A127" s="22">
        <v>110</v>
      </c>
      <c r="B127" s="23">
        <f t="shared" si="5"/>
        <v>56.971877529321617</v>
      </c>
      <c r="C127" s="23">
        <f t="shared" si="6"/>
        <v>35.23500693519555</v>
      </c>
      <c r="D127" s="23">
        <f t="shared" si="4"/>
        <v>21.736870594126067</v>
      </c>
      <c r="E127" s="31">
        <f t="shared" si="7"/>
        <v>5879.8664923540045</v>
      </c>
    </row>
    <row r="128" spans="1:5" s="19" customFormat="1" x14ac:dyDescent="0.2">
      <c r="A128" s="22">
        <v>111</v>
      </c>
      <c r="B128" s="23">
        <f t="shared" si="5"/>
        <v>56.971877529321617</v>
      </c>
      <c r="C128" s="23">
        <f t="shared" si="6"/>
        <v>35.364488869905465</v>
      </c>
      <c r="D128" s="23">
        <f t="shared" si="4"/>
        <v>21.607388659416152</v>
      </c>
      <c r="E128" s="31">
        <f t="shared" si="7"/>
        <v>5844.5020034840991</v>
      </c>
    </row>
    <row r="129" spans="1:5" s="19" customFormat="1" x14ac:dyDescent="0.2">
      <c r="A129" s="22">
        <v>112</v>
      </c>
      <c r="B129" s="23">
        <f t="shared" si="5"/>
        <v>56.971877529321617</v>
      </c>
      <c r="C129" s="23">
        <f t="shared" si="6"/>
        <v>35.494446626046241</v>
      </c>
      <c r="D129" s="23">
        <f t="shared" si="4"/>
        <v>21.47743090327538</v>
      </c>
      <c r="E129" s="31">
        <f t="shared" si="7"/>
        <v>5809.0075568580532</v>
      </c>
    </row>
    <row r="130" spans="1:5" s="19" customFormat="1" x14ac:dyDescent="0.2">
      <c r="A130" s="22">
        <v>113</v>
      </c>
      <c r="B130" s="23">
        <f t="shared" si="5"/>
        <v>56.971877529321617</v>
      </c>
      <c r="C130" s="23">
        <f t="shared" si="6"/>
        <v>35.624881952170938</v>
      </c>
      <c r="D130" s="23">
        <f t="shared" si="4"/>
        <v>21.346995577150683</v>
      </c>
      <c r="E130" s="31">
        <f t="shared" si="7"/>
        <v>5773.3826749058826</v>
      </c>
    </row>
    <row r="131" spans="1:5" s="19" customFormat="1" x14ac:dyDescent="0.2">
      <c r="A131" s="22">
        <v>114</v>
      </c>
      <c r="B131" s="23">
        <f t="shared" si="5"/>
        <v>56.971877529321617</v>
      </c>
      <c r="C131" s="23">
        <f t="shared" si="6"/>
        <v>35.755796603258226</v>
      </c>
      <c r="D131" s="23">
        <f t="shared" si="4"/>
        <v>21.216080926063391</v>
      </c>
      <c r="E131" s="31">
        <f t="shared" si="7"/>
        <v>5737.6268783026244</v>
      </c>
    </row>
    <row r="132" spans="1:5" s="19" customFormat="1" x14ac:dyDescent="0.2">
      <c r="A132" s="22">
        <v>115</v>
      </c>
      <c r="B132" s="23">
        <f t="shared" si="5"/>
        <v>56.971877529321617</v>
      </c>
      <c r="C132" s="23">
        <f t="shared" si="6"/>
        <v>35.887192340735986</v>
      </c>
      <c r="D132" s="23">
        <f t="shared" si="4"/>
        <v>21.084685188585631</v>
      </c>
      <c r="E132" s="31">
        <f t="shared" si="7"/>
        <v>5701.7396859618884</v>
      </c>
    </row>
    <row r="133" spans="1:5" s="19" customFormat="1" x14ac:dyDescent="0.2">
      <c r="A133" s="22">
        <v>116</v>
      </c>
      <c r="B133" s="23">
        <f t="shared" si="5"/>
        <v>56.971877529321617</v>
      </c>
      <c r="C133" s="23">
        <f t="shared" si="6"/>
        <v>36.019070932505009</v>
      </c>
      <c r="D133" s="23">
        <f t="shared" si="4"/>
        <v>20.952806596816608</v>
      </c>
      <c r="E133" s="31">
        <f t="shared" si="7"/>
        <v>5665.7206150293832</v>
      </c>
    </row>
    <row r="134" spans="1:5" s="19" customFormat="1" x14ac:dyDescent="0.2">
      <c r="A134" s="22">
        <v>117</v>
      </c>
      <c r="B134" s="23">
        <f t="shared" si="5"/>
        <v>56.971877529321617</v>
      </c>
      <c r="C134" s="23">
        <f t="shared" si="6"/>
        <v>36.151434152962779</v>
      </c>
      <c r="D134" s="23">
        <f t="shared" si="4"/>
        <v>20.820443376358838</v>
      </c>
      <c r="E134" s="31">
        <f t="shared" si="7"/>
        <v>5629.5691808764204</v>
      </c>
    </row>
    <row r="135" spans="1:5" s="19" customFormat="1" x14ac:dyDescent="0.2">
      <c r="A135" s="22">
        <v>118</v>
      </c>
      <c r="B135" s="23">
        <f t="shared" si="5"/>
        <v>56.971877529321617</v>
      </c>
      <c r="C135" s="23">
        <f t="shared" si="6"/>
        <v>36.284283783027362</v>
      </c>
      <c r="D135" s="23">
        <f t="shared" si="4"/>
        <v>20.687593746294255</v>
      </c>
      <c r="E135" s="31">
        <f t="shared" si="7"/>
        <v>5593.2848970933928</v>
      </c>
    </row>
    <row r="136" spans="1:5" s="19" customFormat="1" x14ac:dyDescent="0.2">
      <c r="A136" s="22">
        <v>119</v>
      </c>
      <c r="B136" s="23">
        <f t="shared" si="5"/>
        <v>56.971877529321617</v>
      </c>
      <c r="C136" s="23">
        <f t="shared" si="6"/>
        <v>36.417621610161348</v>
      </c>
      <c r="D136" s="23">
        <f t="shared" si="4"/>
        <v>20.554255919160266</v>
      </c>
      <c r="E136" s="31">
        <f t="shared" si="7"/>
        <v>5556.8672754832314</v>
      </c>
    </row>
    <row r="137" spans="1:5" s="19" customFormat="1" x14ac:dyDescent="0.2">
      <c r="A137" s="22">
        <v>120</v>
      </c>
      <c r="B137" s="23">
        <f t="shared" si="5"/>
        <v>56.971877529321617</v>
      </c>
      <c r="C137" s="23">
        <f t="shared" si="6"/>
        <v>36.551449428395927</v>
      </c>
      <c r="D137" s="23">
        <f t="shared" si="4"/>
        <v>20.420428100925694</v>
      </c>
      <c r="E137" s="31">
        <f t="shared" si="7"/>
        <v>5520.3158260548353</v>
      </c>
    </row>
    <row r="138" spans="1:5" s="19" customFormat="1" x14ac:dyDescent="0.2">
      <c r="A138" s="22">
        <v>121</v>
      </c>
      <c r="B138" s="23">
        <f t="shared" si="5"/>
        <v>56.971877529321617</v>
      </c>
      <c r="C138" s="23">
        <f t="shared" si="6"/>
        <v>36.685769038354984</v>
      </c>
      <c r="D138" s="23">
        <f t="shared" si="4"/>
        <v>20.286108490966633</v>
      </c>
      <c r="E138" s="31">
        <f t="shared" si="7"/>
        <v>5483.6300570164804</v>
      </c>
    </row>
    <row r="139" spans="1:5" s="19" customFormat="1" x14ac:dyDescent="0.2">
      <c r="A139" s="22">
        <v>122</v>
      </c>
      <c r="B139" s="23">
        <f t="shared" si="5"/>
        <v>56.971877529321617</v>
      </c>
      <c r="C139" s="23">
        <f t="shared" si="6"/>
        <v>36.82058224727939</v>
      </c>
      <c r="D139" s="23">
        <f t="shared" si="4"/>
        <v>20.151295282042231</v>
      </c>
      <c r="E139" s="31">
        <f t="shared" si="7"/>
        <v>5446.8094747692012</v>
      </c>
    </row>
    <row r="140" spans="1:5" s="19" customFormat="1" x14ac:dyDescent="0.2">
      <c r="A140" s="22">
        <v>123</v>
      </c>
      <c r="B140" s="23">
        <f t="shared" si="5"/>
        <v>56.971877529321617</v>
      </c>
      <c r="C140" s="23">
        <f t="shared" si="6"/>
        <v>36.955890869051245</v>
      </c>
      <c r="D140" s="23">
        <f t="shared" si="4"/>
        <v>20.015986660270372</v>
      </c>
      <c r="E140" s="31">
        <f t="shared" si="7"/>
        <v>5409.8535839001497</v>
      </c>
    </row>
    <row r="141" spans="1:5" s="19" customFormat="1" x14ac:dyDescent="0.2">
      <c r="A141" s="22">
        <v>124</v>
      </c>
      <c r="B141" s="23">
        <f t="shared" si="5"/>
        <v>56.971877529321617</v>
      </c>
      <c r="C141" s="23">
        <f t="shared" si="6"/>
        <v>37.091696724218352</v>
      </c>
      <c r="D141" s="23">
        <f t="shared" si="4"/>
        <v>19.880180805103262</v>
      </c>
      <c r="E141" s="31">
        <f t="shared" si="7"/>
        <v>5372.7618871759314</v>
      </c>
    </row>
    <row r="142" spans="1:5" s="19" customFormat="1" x14ac:dyDescent="0.2">
      <c r="A142" s="22">
        <v>125</v>
      </c>
      <c r="B142" s="23">
        <f t="shared" si="5"/>
        <v>56.971877529321617</v>
      </c>
      <c r="C142" s="23">
        <f t="shared" si="6"/>
        <v>37.228001640018661</v>
      </c>
      <c r="D142" s="23">
        <f t="shared" si="4"/>
        <v>19.743875889302952</v>
      </c>
      <c r="E142" s="31">
        <f t="shared" si="7"/>
        <v>5335.5338855359123</v>
      </c>
    </row>
    <row r="143" spans="1:5" s="19" customFormat="1" x14ac:dyDescent="0.2">
      <c r="A143" s="22">
        <v>126</v>
      </c>
      <c r="B143" s="23">
        <f t="shared" si="5"/>
        <v>56.971877529321617</v>
      </c>
      <c r="C143" s="23">
        <f t="shared" si="6"/>
        <v>37.364807450404882</v>
      </c>
      <c r="D143" s="23">
        <f t="shared" si="4"/>
        <v>19.607070078916731</v>
      </c>
      <c r="E143" s="31">
        <f t="shared" si="7"/>
        <v>5298.1690780855079</v>
      </c>
    </row>
    <row r="144" spans="1:5" s="19" customFormat="1" x14ac:dyDescent="0.2">
      <c r="A144" s="22">
        <v>127</v>
      </c>
      <c r="B144" s="23">
        <f t="shared" si="5"/>
        <v>56.971877529321617</v>
      </c>
      <c r="C144" s="23">
        <f t="shared" si="6"/>
        <v>37.502115996069151</v>
      </c>
      <c r="D144" s="23">
        <f t="shared" si="4"/>
        <v>19.46976153325247</v>
      </c>
      <c r="E144" s="31">
        <f t="shared" si="7"/>
        <v>5260.666962089439</v>
      </c>
    </row>
    <row r="145" spans="1:5" s="19" customFormat="1" x14ac:dyDescent="0.2">
      <c r="A145" s="22">
        <v>128</v>
      </c>
      <c r="B145" s="23">
        <f t="shared" si="5"/>
        <v>56.971877529321617</v>
      </c>
      <c r="C145" s="23">
        <f t="shared" si="6"/>
        <v>37.63992912446777</v>
      </c>
      <c r="D145" s="23">
        <f t="shared" si="4"/>
        <v>19.331948404853843</v>
      </c>
      <c r="E145" s="31">
        <f t="shared" si="7"/>
        <v>5223.0270329649711</v>
      </c>
    </row>
    <row r="146" spans="1:5" s="19" customFormat="1" x14ac:dyDescent="0.2">
      <c r="A146" s="22">
        <v>129</v>
      </c>
      <c r="B146" s="23">
        <f t="shared" si="5"/>
        <v>56.971877529321617</v>
      </c>
      <c r="C146" s="23">
        <f t="shared" si="6"/>
        <v>37.778248689846144</v>
      </c>
      <c r="D146" s="23">
        <f t="shared" ref="D146:D209" si="8">E145*B$7</f>
        <v>19.193628839475473</v>
      </c>
      <c r="E146" s="31">
        <f t="shared" si="7"/>
        <v>5185.2487842751252</v>
      </c>
    </row>
    <row r="147" spans="1:5" s="19" customFormat="1" x14ac:dyDescent="0.2">
      <c r="A147" s="22">
        <v>130</v>
      </c>
      <c r="B147" s="23">
        <f t="shared" ref="B147:B210" si="9">B$9</f>
        <v>56.971877529321617</v>
      </c>
      <c r="C147" s="23">
        <f t="shared" ref="C147:C210" si="10">B147-D147</f>
        <v>37.917076553263627</v>
      </c>
      <c r="D147" s="23">
        <f t="shared" si="8"/>
        <v>19.054800976057987</v>
      </c>
      <c r="E147" s="31">
        <f t="shared" ref="E147:E210" si="11">E146-C147</f>
        <v>5147.3317077218617</v>
      </c>
    </row>
    <row r="148" spans="1:5" s="19" customFormat="1" x14ac:dyDescent="0.2">
      <c r="A148" s="22">
        <v>131</v>
      </c>
      <c r="B148" s="23">
        <f t="shared" si="9"/>
        <v>56.971877529321617</v>
      </c>
      <c r="C148" s="23">
        <f t="shared" si="10"/>
        <v>38.056414582618643</v>
      </c>
      <c r="D148" s="23">
        <f t="shared" si="8"/>
        <v>18.91546294670297</v>
      </c>
      <c r="E148" s="31">
        <f t="shared" si="11"/>
        <v>5109.2752931392433</v>
      </c>
    </row>
    <row r="149" spans="1:5" s="19" customFormat="1" x14ac:dyDescent="0.2">
      <c r="A149" s="22">
        <v>132</v>
      </c>
      <c r="B149" s="23">
        <f t="shared" si="9"/>
        <v>56.971877529321617</v>
      </c>
      <c r="C149" s="23">
        <f t="shared" si="10"/>
        <v>38.196264652673776</v>
      </c>
      <c r="D149" s="23">
        <f t="shared" si="8"/>
        <v>18.775612876647841</v>
      </c>
      <c r="E149" s="31">
        <f t="shared" si="11"/>
        <v>5071.0790284865698</v>
      </c>
    </row>
    <row r="150" spans="1:5" s="19" customFormat="1" x14ac:dyDescent="0.2">
      <c r="A150" s="22">
        <v>133</v>
      </c>
      <c r="B150" s="23">
        <f t="shared" si="9"/>
        <v>56.971877529321617</v>
      </c>
      <c r="C150" s="23">
        <f t="shared" si="10"/>
        <v>38.336628645080992</v>
      </c>
      <c r="D150" s="23">
        <f t="shared" si="8"/>
        <v>18.635248884240621</v>
      </c>
      <c r="E150" s="31">
        <f t="shared" si="11"/>
        <v>5032.7423998414888</v>
      </c>
    </row>
    <row r="151" spans="1:5" s="19" customFormat="1" x14ac:dyDescent="0.2">
      <c r="A151" s="22">
        <v>134</v>
      </c>
      <c r="B151" s="23">
        <f t="shared" si="9"/>
        <v>56.971877529321617</v>
      </c>
      <c r="C151" s="23">
        <f t="shared" si="10"/>
        <v>38.477508448406994</v>
      </c>
      <c r="D151" s="23">
        <f t="shared" si="8"/>
        <v>18.494369080914623</v>
      </c>
      <c r="E151" s="31">
        <f t="shared" si="11"/>
        <v>4994.2648913930816</v>
      </c>
    </row>
    <row r="152" spans="1:5" s="19" customFormat="1" x14ac:dyDescent="0.2">
      <c r="A152" s="22">
        <v>135</v>
      </c>
      <c r="B152" s="23">
        <f t="shared" si="9"/>
        <v>56.971877529321617</v>
      </c>
      <c r="C152" s="23">
        <f t="shared" si="10"/>
        <v>38.618905958158592</v>
      </c>
      <c r="D152" s="23">
        <f t="shared" si="8"/>
        <v>18.352971571163028</v>
      </c>
      <c r="E152" s="31">
        <f t="shared" si="11"/>
        <v>4955.6459854349232</v>
      </c>
    </row>
    <row r="153" spans="1:5" s="19" customFormat="1" x14ac:dyDescent="0.2">
      <c r="A153" s="22">
        <v>136</v>
      </c>
      <c r="B153" s="23">
        <f t="shared" si="9"/>
        <v>56.971877529321617</v>
      </c>
      <c r="C153" s="23">
        <f t="shared" si="10"/>
        <v>38.760823076808215</v>
      </c>
      <c r="D153" s="23">
        <f t="shared" si="8"/>
        <v>18.211054452513402</v>
      </c>
      <c r="E153" s="31">
        <f t="shared" si="11"/>
        <v>4916.8851623581149</v>
      </c>
    </row>
    <row r="154" spans="1:5" s="19" customFormat="1" x14ac:dyDescent="0.2">
      <c r="A154" s="22">
        <v>137</v>
      </c>
      <c r="B154" s="23">
        <f t="shared" si="9"/>
        <v>56.971877529321617</v>
      </c>
      <c r="C154" s="23">
        <f t="shared" si="10"/>
        <v>38.903261713819546</v>
      </c>
      <c r="D154" s="23">
        <f t="shared" si="8"/>
        <v>18.068615815502074</v>
      </c>
      <c r="E154" s="31">
        <f t="shared" si="11"/>
        <v>4877.9819006442958</v>
      </c>
    </row>
    <row r="155" spans="1:5" s="19" customFormat="1" x14ac:dyDescent="0.2">
      <c r="A155" s="22">
        <v>138</v>
      </c>
      <c r="B155" s="23">
        <f t="shared" si="9"/>
        <v>56.971877529321617</v>
      </c>
      <c r="C155" s="23">
        <f t="shared" si="10"/>
        <v>39.046223785673135</v>
      </c>
      <c r="D155" s="23">
        <f t="shared" si="8"/>
        <v>17.925653743648478</v>
      </c>
      <c r="E155" s="31">
        <f t="shared" si="11"/>
        <v>4838.9356768586231</v>
      </c>
    </row>
    <row r="156" spans="1:5" s="19" customFormat="1" x14ac:dyDescent="0.2">
      <c r="A156" s="22">
        <v>139</v>
      </c>
      <c r="B156" s="23">
        <f t="shared" si="9"/>
        <v>56.971877529321617</v>
      </c>
      <c r="C156" s="23">
        <f t="shared" si="10"/>
        <v>39.189711215892288</v>
      </c>
      <c r="D156" s="23">
        <f t="shared" si="8"/>
        <v>17.782166313429325</v>
      </c>
      <c r="E156" s="31">
        <f t="shared" si="11"/>
        <v>4799.7459656427309</v>
      </c>
    </row>
    <row r="157" spans="1:5" s="19" customFormat="1" x14ac:dyDescent="0.2">
      <c r="A157" s="22">
        <v>140</v>
      </c>
      <c r="B157" s="23">
        <f t="shared" si="9"/>
        <v>56.971877529321617</v>
      </c>
      <c r="C157" s="23">
        <f t="shared" si="10"/>
        <v>39.333725935068856</v>
      </c>
      <c r="D157" s="23">
        <f t="shared" si="8"/>
        <v>17.638151594252761</v>
      </c>
      <c r="E157" s="31">
        <f t="shared" si="11"/>
        <v>4760.4122397076617</v>
      </c>
    </row>
    <row r="158" spans="1:5" s="19" customFormat="1" x14ac:dyDescent="0.2">
      <c r="A158" s="22">
        <v>141</v>
      </c>
      <c r="B158" s="23">
        <f t="shared" si="9"/>
        <v>56.971877529321617</v>
      </c>
      <c r="C158" s="23">
        <f t="shared" si="10"/>
        <v>39.478269880889258</v>
      </c>
      <c r="D158" s="23">
        <f t="shared" si="8"/>
        <v>17.493607648432363</v>
      </c>
      <c r="E158" s="31">
        <f t="shared" si="11"/>
        <v>4720.9339698267722</v>
      </c>
    </row>
    <row r="159" spans="1:5" s="19" customFormat="1" x14ac:dyDescent="0.2">
      <c r="A159" s="22">
        <v>142</v>
      </c>
      <c r="B159" s="23">
        <f t="shared" si="9"/>
        <v>56.971877529321617</v>
      </c>
      <c r="C159" s="23">
        <f t="shared" si="10"/>
        <v>39.623344998160533</v>
      </c>
      <c r="D159" s="23">
        <f t="shared" si="8"/>
        <v>17.348532531161087</v>
      </c>
      <c r="E159" s="31">
        <f t="shared" si="11"/>
        <v>4681.3106248286113</v>
      </c>
    </row>
    <row r="160" spans="1:5" s="19" customFormat="1" x14ac:dyDescent="0.2">
      <c r="A160" s="22">
        <v>143</v>
      </c>
      <c r="B160" s="23">
        <f t="shared" si="9"/>
        <v>56.971877529321617</v>
      </c>
      <c r="C160" s="23">
        <f t="shared" si="10"/>
        <v>39.768953238836531</v>
      </c>
      <c r="D160" s="23">
        <f t="shared" si="8"/>
        <v>17.20292429048509</v>
      </c>
      <c r="E160" s="31">
        <f t="shared" si="11"/>
        <v>4641.5416715897745</v>
      </c>
    </row>
    <row r="161" spans="1:5" s="19" customFormat="1" x14ac:dyDescent="0.2">
      <c r="A161" s="22">
        <v>144</v>
      </c>
      <c r="B161" s="23">
        <f t="shared" si="9"/>
        <v>56.971877529321617</v>
      </c>
      <c r="C161" s="23">
        <f t="shared" si="10"/>
        <v>39.915096562044141</v>
      </c>
      <c r="D161" s="23">
        <f t="shared" si="8"/>
        <v>17.056780967277479</v>
      </c>
      <c r="E161" s="31">
        <f t="shared" si="11"/>
        <v>4601.6265750277307</v>
      </c>
    </row>
    <row r="162" spans="1:5" s="19" customFormat="1" x14ac:dyDescent="0.2">
      <c r="A162" s="22">
        <v>145</v>
      </c>
      <c r="B162" s="23">
        <f t="shared" si="9"/>
        <v>56.971877529321617</v>
      </c>
      <c r="C162" s="23">
        <f t="shared" si="10"/>
        <v>40.06177693410968</v>
      </c>
      <c r="D162" s="23">
        <f t="shared" si="8"/>
        <v>16.910100595211937</v>
      </c>
      <c r="E162" s="31">
        <f t="shared" si="11"/>
        <v>4561.564798093621</v>
      </c>
    </row>
    <row r="163" spans="1:5" s="19" customFormat="1" x14ac:dyDescent="0.2">
      <c r="A163" s="22">
        <v>146</v>
      </c>
      <c r="B163" s="23">
        <f t="shared" si="9"/>
        <v>56.971877529321617</v>
      </c>
      <c r="C163" s="23">
        <f t="shared" si="10"/>
        <v>40.20899632858535</v>
      </c>
      <c r="D163" s="23">
        <f t="shared" si="8"/>
        <v>16.762881200736267</v>
      </c>
      <c r="E163" s="31">
        <f t="shared" si="11"/>
        <v>4521.3558017650357</v>
      </c>
    </row>
    <row r="164" spans="1:5" s="19" customFormat="1" x14ac:dyDescent="0.2">
      <c r="A164" s="22">
        <v>147</v>
      </c>
      <c r="B164" s="23">
        <f t="shared" si="9"/>
        <v>56.971877529321617</v>
      </c>
      <c r="C164" s="23">
        <f t="shared" si="10"/>
        <v>40.356756726275762</v>
      </c>
      <c r="D164" s="23">
        <f t="shared" si="8"/>
        <v>16.615120803045851</v>
      </c>
      <c r="E164" s="31">
        <f t="shared" si="11"/>
        <v>4480.9990450387595</v>
      </c>
    </row>
    <row r="165" spans="1:5" s="19" customFormat="1" x14ac:dyDescent="0.2">
      <c r="A165" s="22">
        <v>148</v>
      </c>
      <c r="B165" s="23">
        <f t="shared" si="9"/>
        <v>56.971877529321617</v>
      </c>
      <c r="C165" s="23">
        <f t="shared" si="10"/>
        <v>40.505060115264627</v>
      </c>
      <c r="D165" s="23">
        <f t="shared" si="8"/>
        <v>16.466817414056987</v>
      </c>
      <c r="E165" s="31">
        <f t="shared" si="11"/>
        <v>4440.4939849234952</v>
      </c>
    </row>
    <row r="166" spans="1:5" s="19" customFormat="1" x14ac:dyDescent="0.2">
      <c r="A166" s="22">
        <v>149</v>
      </c>
      <c r="B166" s="23">
        <f t="shared" si="9"/>
        <v>56.971877529321617</v>
      </c>
      <c r="C166" s="23">
        <f t="shared" si="10"/>
        <v>40.653908490941461</v>
      </c>
      <c r="D166" s="23">
        <f t="shared" si="8"/>
        <v>16.317969038380156</v>
      </c>
      <c r="E166" s="31">
        <f t="shared" si="11"/>
        <v>4399.8400764325534</v>
      </c>
    </row>
    <row r="167" spans="1:5" s="19" customFormat="1" x14ac:dyDescent="0.2">
      <c r="A167" s="22">
        <v>150</v>
      </c>
      <c r="B167" s="23">
        <f t="shared" si="9"/>
        <v>56.971877529321617</v>
      </c>
      <c r="C167" s="23">
        <f t="shared" si="10"/>
        <v>40.803303856028478</v>
      </c>
      <c r="D167" s="23">
        <f t="shared" si="8"/>
        <v>16.168573673293142</v>
      </c>
      <c r="E167" s="31">
        <f t="shared" si="11"/>
        <v>4359.0367725765245</v>
      </c>
    </row>
    <row r="168" spans="1:5" s="19" customFormat="1" x14ac:dyDescent="0.2">
      <c r="A168" s="22">
        <v>151</v>
      </c>
      <c r="B168" s="23">
        <f t="shared" si="9"/>
        <v>56.971877529321617</v>
      </c>
      <c r="C168" s="23">
        <f t="shared" si="10"/>
        <v>40.953248220607492</v>
      </c>
      <c r="D168" s="23">
        <f t="shared" si="8"/>
        <v>16.018629308714125</v>
      </c>
      <c r="E168" s="31">
        <f t="shared" si="11"/>
        <v>4318.0835243559168</v>
      </c>
    </row>
    <row r="169" spans="1:5" s="19" customFormat="1" x14ac:dyDescent="0.2">
      <c r="A169" s="22">
        <v>152</v>
      </c>
      <c r="B169" s="23">
        <f t="shared" si="9"/>
        <v>56.971877529321617</v>
      </c>
      <c r="C169" s="23">
        <f t="shared" si="10"/>
        <v>41.103743602147006</v>
      </c>
      <c r="D169" s="23">
        <f t="shared" si="8"/>
        <v>15.868133927174613</v>
      </c>
      <c r="E169" s="31">
        <f t="shared" si="11"/>
        <v>4276.9797807537698</v>
      </c>
    </row>
    <row r="170" spans="1:5" s="19" customFormat="1" x14ac:dyDescent="0.2">
      <c r="A170" s="22">
        <v>153</v>
      </c>
      <c r="B170" s="23">
        <f t="shared" si="9"/>
        <v>56.971877529321617</v>
      </c>
      <c r="C170" s="23">
        <f t="shared" si="10"/>
        <v>41.254792025529319</v>
      </c>
      <c r="D170" s="23">
        <f t="shared" si="8"/>
        <v>15.717085503792298</v>
      </c>
      <c r="E170" s="31">
        <f t="shared" si="11"/>
        <v>4235.7249887282405</v>
      </c>
    </row>
    <row r="171" spans="1:5" s="19" customFormat="1" x14ac:dyDescent="0.2">
      <c r="A171" s="22">
        <v>154</v>
      </c>
      <c r="B171" s="23">
        <f t="shared" si="9"/>
        <v>56.971877529321617</v>
      </c>
      <c r="C171" s="23">
        <f t="shared" si="10"/>
        <v>41.406395523077805</v>
      </c>
      <c r="D171" s="23">
        <f t="shared" si="8"/>
        <v>15.565482006243816</v>
      </c>
      <c r="E171" s="31">
        <f t="shared" si="11"/>
        <v>4194.3185932051629</v>
      </c>
    </row>
    <row r="172" spans="1:5" s="19" customFormat="1" x14ac:dyDescent="0.2">
      <c r="A172" s="22">
        <v>155</v>
      </c>
      <c r="B172" s="23">
        <f t="shared" si="9"/>
        <v>56.971877529321617</v>
      </c>
      <c r="C172" s="23">
        <f t="shared" si="10"/>
        <v>41.558556134584215</v>
      </c>
      <c r="D172" s="23">
        <f t="shared" si="8"/>
        <v>15.413321394737403</v>
      </c>
      <c r="E172" s="31">
        <f t="shared" si="11"/>
        <v>4152.7600370705786</v>
      </c>
    </row>
    <row r="173" spans="1:5" s="19" customFormat="1" x14ac:dyDescent="0.2">
      <c r="A173" s="22">
        <v>156</v>
      </c>
      <c r="B173" s="23">
        <f t="shared" si="9"/>
        <v>56.971877529321617</v>
      </c>
      <c r="C173" s="23">
        <f t="shared" si="10"/>
        <v>41.711275907336166</v>
      </c>
      <c r="D173" s="23">
        <f t="shared" si="8"/>
        <v>15.260601621985449</v>
      </c>
      <c r="E173" s="31">
        <f t="shared" si="11"/>
        <v>4111.0487611632425</v>
      </c>
    </row>
    <row r="174" spans="1:5" s="19" customFormat="1" x14ac:dyDescent="0.2">
      <c r="A174" s="22">
        <v>157</v>
      </c>
      <c r="B174" s="23">
        <f t="shared" si="9"/>
        <v>56.971877529321617</v>
      </c>
      <c r="C174" s="23">
        <f t="shared" si="10"/>
        <v>41.864556896144663</v>
      </c>
      <c r="D174" s="23">
        <f t="shared" si="8"/>
        <v>15.107320633176956</v>
      </c>
      <c r="E174" s="31">
        <f t="shared" si="11"/>
        <v>4069.1842042670978</v>
      </c>
    </row>
    <row r="175" spans="1:5" s="19" customFormat="1" x14ac:dyDescent="0.2">
      <c r="A175" s="22">
        <v>158</v>
      </c>
      <c r="B175" s="23">
        <f t="shared" si="9"/>
        <v>56.971877529321617</v>
      </c>
      <c r="C175" s="23">
        <f t="shared" si="10"/>
        <v>42.018401163371735</v>
      </c>
      <c r="D175" s="23">
        <f t="shared" si="8"/>
        <v>14.95347636594988</v>
      </c>
      <c r="E175" s="31">
        <f t="shared" si="11"/>
        <v>4027.1658031037259</v>
      </c>
    </row>
    <row r="176" spans="1:5" s="19" customFormat="1" x14ac:dyDescent="0.2">
      <c r="A176" s="22">
        <v>159</v>
      </c>
      <c r="B176" s="23">
        <f t="shared" si="9"/>
        <v>56.971877529321617</v>
      </c>
      <c r="C176" s="23">
        <f t="shared" si="10"/>
        <v>42.172810778958222</v>
      </c>
      <c r="D176" s="23">
        <f t="shared" si="8"/>
        <v>14.799066750363394</v>
      </c>
      <c r="E176" s="31">
        <f t="shared" si="11"/>
        <v>3984.9929923247678</v>
      </c>
    </row>
    <row r="177" spans="1:5" s="19" customFormat="1" x14ac:dyDescent="0.2">
      <c r="A177" s="22">
        <v>160</v>
      </c>
      <c r="B177" s="23">
        <f t="shared" si="9"/>
        <v>56.971877529321617</v>
      </c>
      <c r="C177" s="23">
        <f t="shared" si="10"/>
        <v>42.327787820451583</v>
      </c>
      <c r="D177" s="23">
        <f t="shared" si="8"/>
        <v>14.644089708870034</v>
      </c>
      <c r="E177" s="31">
        <f t="shared" si="11"/>
        <v>3942.6652045043161</v>
      </c>
    </row>
    <row r="178" spans="1:5" s="19" customFormat="1" x14ac:dyDescent="0.2">
      <c r="A178" s="22">
        <v>161</v>
      </c>
      <c r="B178" s="23">
        <f t="shared" si="9"/>
        <v>56.971877529321617</v>
      </c>
      <c r="C178" s="23">
        <f t="shared" si="10"/>
        <v>42.483334373033877</v>
      </c>
      <c r="D178" s="23">
        <f t="shared" si="8"/>
        <v>14.488543156287742</v>
      </c>
      <c r="E178" s="31">
        <f t="shared" si="11"/>
        <v>3900.1818701312823</v>
      </c>
    </row>
    <row r="179" spans="1:5" s="19" customFormat="1" x14ac:dyDescent="0.2">
      <c r="A179" s="22">
        <v>162</v>
      </c>
      <c r="B179" s="23">
        <f t="shared" si="9"/>
        <v>56.971877529321617</v>
      </c>
      <c r="C179" s="23">
        <f t="shared" si="10"/>
        <v>42.6394525295498</v>
      </c>
      <c r="D179" s="23">
        <f t="shared" si="8"/>
        <v>14.332424999771815</v>
      </c>
      <c r="E179" s="31">
        <f t="shared" si="11"/>
        <v>3857.5424176017323</v>
      </c>
    </row>
    <row r="180" spans="1:5" s="19" customFormat="1" x14ac:dyDescent="0.2">
      <c r="A180" s="22">
        <v>163</v>
      </c>
      <c r="B180" s="23">
        <f t="shared" si="9"/>
        <v>56.971877529321617</v>
      </c>
      <c r="C180" s="23">
        <f t="shared" si="10"/>
        <v>42.79614439053487</v>
      </c>
      <c r="D180" s="23">
        <f t="shared" si="8"/>
        <v>14.175733138786745</v>
      </c>
      <c r="E180" s="31">
        <f t="shared" si="11"/>
        <v>3814.7462732111976</v>
      </c>
    </row>
    <row r="181" spans="1:5" s="19" customFormat="1" x14ac:dyDescent="0.2">
      <c r="A181" s="22">
        <v>164</v>
      </c>
      <c r="B181" s="23">
        <f t="shared" si="9"/>
        <v>56.971877529321617</v>
      </c>
      <c r="C181" s="23">
        <f t="shared" si="10"/>
        <v>42.953412064243665</v>
      </c>
      <c r="D181" s="23">
        <f t="shared" si="8"/>
        <v>14.018465465077954</v>
      </c>
      <c r="E181" s="31">
        <f t="shared" si="11"/>
        <v>3771.7928611469538</v>
      </c>
    </row>
    <row r="182" spans="1:5" s="19" customFormat="1" x14ac:dyDescent="0.2">
      <c r="A182" s="22">
        <v>165</v>
      </c>
      <c r="B182" s="23">
        <f t="shared" si="9"/>
        <v>56.971877529321617</v>
      </c>
      <c r="C182" s="23">
        <f t="shared" si="10"/>
        <v>43.111257666678185</v>
      </c>
      <c r="D182" s="23">
        <f t="shared" si="8"/>
        <v>13.860619862643434</v>
      </c>
      <c r="E182" s="31">
        <f t="shared" si="11"/>
        <v>3728.6816034802755</v>
      </c>
    </row>
    <row r="183" spans="1:5" s="19" customFormat="1" x14ac:dyDescent="0.2">
      <c r="A183" s="22">
        <v>166</v>
      </c>
      <c r="B183" s="23">
        <f t="shared" si="9"/>
        <v>56.971877529321617</v>
      </c>
      <c r="C183" s="23">
        <f t="shared" si="10"/>
        <v>43.269683321616348</v>
      </c>
      <c r="D183" s="23">
        <f t="shared" si="8"/>
        <v>13.702194207705269</v>
      </c>
      <c r="E183" s="31">
        <f t="shared" si="11"/>
        <v>3685.4119201586591</v>
      </c>
    </row>
    <row r="184" spans="1:5" s="19" customFormat="1" x14ac:dyDescent="0.2">
      <c r="A184" s="22">
        <v>167</v>
      </c>
      <c r="B184" s="23">
        <f t="shared" si="9"/>
        <v>56.971877529321617</v>
      </c>
      <c r="C184" s="23">
        <f t="shared" si="10"/>
        <v>43.428691160640547</v>
      </c>
      <c r="D184" s="23">
        <f t="shared" si="8"/>
        <v>13.543186368681068</v>
      </c>
      <c r="E184" s="31">
        <f t="shared" si="11"/>
        <v>3641.9832289980186</v>
      </c>
    </row>
    <row r="185" spans="1:5" s="19" customFormat="1" x14ac:dyDescent="0.2">
      <c r="A185" s="22">
        <v>168</v>
      </c>
      <c r="B185" s="23">
        <f t="shared" si="9"/>
        <v>56.971877529321617</v>
      </c>
      <c r="C185" s="23">
        <f t="shared" si="10"/>
        <v>43.588283323166337</v>
      </c>
      <c r="D185" s="23">
        <f t="shared" si="8"/>
        <v>13.383594206155276</v>
      </c>
      <c r="E185" s="31">
        <f t="shared" si="11"/>
        <v>3598.3949456748524</v>
      </c>
    </row>
    <row r="186" spans="1:5" s="19" customFormat="1" x14ac:dyDescent="0.2">
      <c r="A186" s="22">
        <v>169</v>
      </c>
      <c r="B186" s="23">
        <f t="shared" si="9"/>
        <v>56.971877529321617</v>
      </c>
      <c r="C186" s="23">
        <f t="shared" si="10"/>
        <v>43.748461956471218</v>
      </c>
      <c r="D186" s="23">
        <f t="shared" si="8"/>
        <v>13.223415572850401</v>
      </c>
      <c r="E186" s="31">
        <f t="shared" si="11"/>
        <v>3554.6464837183812</v>
      </c>
    </row>
    <row r="187" spans="1:5" s="19" customFormat="1" x14ac:dyDescent="0.2">
      <c r="A187" s="22">
        <v>170</v>
      </c>
      <c r="B187" s="23">
        <f t="shared" si="9"/>
        <v>56.971877529321617</v>
      </c>
      <c r="C187" s="23">
        <f t="shared" si="10"/>
        <v>43.909229215723514</v>
      </c>
      <c r="D187" s="23">
        <f t="shared" si="8"/>
        <v>13.062648313598107</v>
      </c>
      <c r="E187" s="31">
        <f t="shared" si="11"/>
        <v>3510.7372545026578</v>
      </c>
    </row>
    <row r="188" spans="1:5" s="19" customFormat="1" x14ac:dyDescent="0.2">
      <c r="A188" s="22">
        <v>171</v>
      </c>
      <c r="B188" s="23">
        <f t="shared" si="9"/>
        <v>56.971877529321617</v>
      </c>
      <c r="C188" s="23">
        <f t="shared" si="10"/>
        <v>44.070587264011387</v>
      </c>
      <c r="D188" s="23">
        <f t="shared" si="8"/>
        <v>12.90129026531023</v>
      </c>
      <c r="E188" s="31">
        <f t="shared" si="11"/>
        <v>3466.6666672386464</v>
      </c>
    </row>
    <row r="189" spans="1:5" s="19" customFormat="1" x14ac:dyDescent="0.2">
      <c r="A189" s="22">
        <v>172</v>
      </c>
      <c r="B189" s="23">
        <f t="shared" si="9"/>
        <v>56.971877529321617</v>
      </c>
      <c r="C189" s="23">
        <f t="shared" si="10"/>
        <v>44.232538272371947</v>
      </c>
      <c r="D189" s="23">
        <f t="shared" si="8"/>
        <v>12.739339256949668</v>
      </c>
      <c r="E189" s="31">
        <f t="shared" si="11"/>
        <v>3422.4341289662743</v>
      </c>
    </row>
    <row r="190" spans="1:5" s="19" customFormat="1" x14ac:dyDescent="0.2">
      <c r="A190" s="22">
        <v>173</v>
      </c>
      <c r="B190" s="23">
        <f t="shared" si="9"/>
        <v>56.971877529321617</v>
      </c>
      <c r="C190" s="23">
        <f t="shared" si="10"/>
        <v>44.395084419820442</v>
      </c>
      <c r="D190" s="23">
        <f t="shared" si="8"/>
        <v>12.576793109501173</v>
      </c>
      <c r="E190" s="31">
        <f t="shared" si="11"/>
        <v>3378.0390445464541</v>
      </c>
    </row>
    <row r="191" spans="1:5" s="19" customFormat="1" x14ac:dyDescent="0.2">
      <c r="A191" s="22">
        <v>174</v>
      </c>
      <c r="B191" s="23">
        <f t="shared" si="9"/>
        <v>56.971877529321617</v>
      </c>
      <c r="C191" s="23">
        <f t="shared" si="10"/>
        <v>44.558227893379588</v>
      </c>
      <c r="D191" s="23">
        <f t="shared" si="8"/>
        <v>12.413649635942029</v>
      </c>
      <c r="E191" s="31">
        <f t="shared" si="11"/>
        <v>3333.4808166530743</v>
      </c>
    </row>
    <row r="192" spans="1:5" s="19" customFormat="1" x14ac:dyDescent="0.2">
      <c r="A192" s="22">
        <v>175</v>
      </c>
      <c r="B192" s="23">
        <f t="shared" si="9"/>
        <v>56.971877529321617</v>
      </c>
      <c r="C192" s="23">
        <f t="shared" si="10"/>
        <v>44.721970888108984</v>
      </c>
      <c r="D192" s="23">
        <f t="shared" si="8"/>
        <v>12.249906641212629</v>
      </c>
      <c r="E192" s="31">
        <f t="shared" si="11"/>
        <v>3288.7588457649654</v>
      </c>
    </row>
    <row r="193" spans="1:5" s="19" customFormat="1" x14ac:dyDescent="0.2">
      <c r="A193" s="22">
        <v>176</v>
      </c>
      <c r="B193" s="23">
        <f t="shared" si="9"/>
        <v>56.971877529321617</v>
      </c>
      <c r="C193" s="23">
        <f t="shared" si="10"/>
        <v>44.886315607134676</v>
      </c>
      <c r="D193" s="23">
        <f t="shared" si="8"/>
        <v>12.085561922186944</v>
      </c>
      <c r="E193" s="31">
        <f t="shared" si="11"/>
        <v>3243.8725301578306</v>
      </c>
    </row>
    <row r="194" spans="1:5" s="19" customFormat="1" x14ac:dyDescent="0.2">
      <c r="A194" s="22">
        <v>177</v>
      </c>
      <c r="B194" s="23">
        <f t="shared" si="9"/>
        <v>56.971877529321617</v>
      </c>
      <c r="C194" s="23">
        <f t="shared" si="10"/>
        <v>45.051264261678746</v>
      </c>
      <c r="D194" s="23">
        <f t="shared" si="8"/>
        <v>11.920613267642869</v>
      </c>
      <c r="E194" s="31">
        <f t="shared" si="11"/>
        <v>3198.821265896152</v>
      </c>
    </row>
    <row r="195" spans="1:5" s="19" customFormat="1" x14ac:dyDescent="0.2">
      <c r="A195" s="22">
        <v>178</v>
      </c>
      <c r="B195" s="23">
        <f t="shared" si="9"/>
        <v>56.971877529321617</v>
      </c>
      <c r="C195" s="23">
        <f t="shared" si="10"/>
        <v>45.216819071089127</v>
      </c>
      <c r="D195" s="23">
        <f t="shared" si="8"/>
        <v>11.755058458232488</v>
      </c>
      <c r="E195" s="31">
        <f t="shared" si="11"/>
        <v>3153.604446825063</v>
      </c>
    </row>
    <row r="196" spans="1:5" s="19" customFormat="1" x14ac:dyDescent="0.2">
      <c r="A196" s="22">
        <v>179</v>
      </c>
      <c r="B196" s="23">
        <f t="shared" si="9"/>
        <v>56.971877529321617</v>
      </c>
      <c r="C196" s="23">
        <f t="shared" si="10"/>
        <v>45.382982262869419</v>
      </c>
      <c r="D196" s="23">
        <f t="shared" si="8"/>
        <v>11.588895266452198</v>
      </c>
      <c r="E196" s="31">
        <f t="shared" si="11"/>
        <v>3108.2214645621934</v>
      </c>
    </row>
    <row r="197" spans="1:5" s="19" customFormat="1" x14ac:dyDescent="0.2">
      <c r="A197" s="22">
        <v>180</v>
      </c>
      <c r="B197" s="23">
        <f t="shared" si="9"/>
        <v>56.971877529321617</v>
      </c>
      <c r="C197" s="23">
        <f t="shared" si="10"/>
        <v>45.549756072708874</v>
      </c>
      <c r="D197" s="23">
        <f t="shared" si="8"/>
        <v>11.422121456612746</v>
      </c>
      <c r="E197" s="31">
        <f t="shared" si="11"/>
        <v>3062.6717084894844</v>
      </c>
    </row>
    <row r="198" spans="1:5" s="19" customFormat="1" x14ac:dyDescent="0.2">
      <c r="A198" s="22">
        <v>181</v>
      </c>
      <c r="B198" s="23">
        <f t="shared" si="9"/>
        <v>56.971877529321617</v>
      </c>
      <c r="C198" s="23">
        <f t="shared" si="10"/>
        <v>45.717142744512465</v>
      </c>
      <c r="D198" s="23">
        <f t="shared" si="8"/>
        <v>11.25473478480915</v>
      </c>
      <c r="E198" s="31">
        <f t="shared" si="11"/>
        <v>3016.9545657449721</v>
      </c>
    </row>
    <row r="199" spans="1:5" s="19" customFormat="1" x14ac:dyDescent="0.2">
      <c r="A199" s="22">
        <v>182</v>
      </c>
      <c r="B199" s="23">
        <f t="shared" si="9"/>
        <v>56.971877529321617</v>
      </c>
      <c r="C199" s="23">
        <f t="shared" si="10"/>
        <v>45.885144530431113</v>
      </c>
      <c r="D199" s="23">
        <f t="shared" si="8"/>
        <v>11.086732998890502</v>
      </c>
      <c r="E199" s="31">
        <f t="shared" si="11"/>
        <v>2971.0694212145409</v>
      </c>
    </row>
    <row r="200" spans="1:5" s="19" customFormat="1" x14ac:dyDescent="0.2">
      <c r="A200" s="22">
        <v>183</v>
      </c>
      <c r="B200" s="23">
        <f t="shared" si="9"/>
        <v>56.971877529321617</v>
      </c>
      <c r="C200" s="23">
        <f t="shared" si="10"/>
        <v>46.053763690891948</v>
      </c>
      <c r="D200" s="23">
        <f t="shared" si="8"/>
        <v>10.918113838429671</v>
      </c>
      <c r="E200" s="31">
        <f t="shared" si="11"/>
        <v>2925.0156575236488</v>
      </c>
    </row>
    <row r="201" spans="1:5" s="19" customFormat="1" x14ac:dyDescent="0.2">
      <c r="A201" s="22">
        <v>184</v>
      </c>
      <c r="B201" s="23">
        <f t="shared" si="9"/>
        <v>56.971877529321617</v>
      </c>
      <c r="C201" s="23">
        <f t="shared" si="10"/>
        <v>46.22300249462873</v>
      </c>
      <c r="D201" s="23">
        <f t="shared" si="8"/>
        <v>10.748875034692883</v>
      </c>
      <c r="E201" s="31">
        <f t="shared" si="11"/>
        <v>2878.7926550290199</v>
      </c>
    </row>
    <row r="202" spans="1:5" s="19" customFormat="1" x14ac:dyDescent="0.2">
      <c r="A202" s="22">
        <v>185</v>
      </c>
      <c r="B202" s="23">
        <f t="shared" si="9"/>
        <v>56.971877529321617</v>
      </c>
      <c r="C202" s="23">
        <f t="shared" si="10"/>
        <v>46.392863218712414</v>
      </c>
      <c r="D202" s="23">
        <f t="shared" si="8"/>
        <v>10.579014310609205</v>
      </c>
      <c r="E202" s="31">
        <f t="shared" si="11"/>
        <v>2832.3997918103073</v>
      </c>
    </row>
    <row r="203" spans="1:5" s="19" customFormat="1" x14ac:dyDescent="0.2">
      <c r="A203" s="22">
        <v>186</v>
      </c>
      <c r="B203" s="23">
        <f t="shared" si="9"/>
        <v>56.971877529321617</v>
      </c>
      <c r="C203" s="23">
        <f t="shared" si="10"/>
        <v>46.563348148581717</v>
      </c>
      <c r="D203" s="23">
        <f t="shared" si="8"/>
        <v>10.408529380739898</v>
      </c>
      <c r="E203" s="31">
        <f t="shared" si="11"/>
        <v>2785.8364436617258</v>
      </c>
    </row>
    <row r="204" spans="1:5" s="19" customFormat="1" x14ac:dyDescent="0.2">
      <c r="A204" s="22">
        <v>187</v>
      </c>
      <c r="B204" s="23">
        <f t="shared" si="9"/>
        <v>56.971877529321617</v>
      </c>
      <c r="C204" s="23">
        <f t="shared" si="10"/>
        <v>46.734459578073938</v>
      </c>
      <c r="D204" s="23">
        <f t="shared" si="8"/>
        <v>10.237417951247677</v>
      </c>
      <c r="E204" s="31">
        <f t="shared" si="11"/>
        <v>2739.1019840836516</v>
      </c>
    </row>
    <row r="205" spans="1:5" s="19" customFormat="1" x14ac:dyDescent="0.2">
      <c r="A205" s="22">
        <v>188</v>
      </c>
      <c r="B205" s="23">
        <f t="shared" si="9"/>
        <v>56.971877529321617</v>
      </c>
      <c r="C205" s="23">
        <f t="shared" si="10"/>
        <v>46.906199809455785</v>
      </c>
      <c r="D205" s="23">
        <f t="shared" si="8"/>
        <v>10.065677719865834</v>
      </c>
      <c r="E205" s="31">
        <f t="shared" si="11"/>
        <v>2692.1957842741958</v>
      </c>
    </row>
    <row r="206" spans="1:5" s="19" customFormat="1" x14ac:dyDescent="0.2">
      <c r="A206" s="22">
        <v>189</v>
      </c>
      <c r="B206" s="23">
        <f t="shared" si="9"/>
        <v>56.971877529321617</v>
      </c>
      <c r="C206" s="23">
        <f t="shared" si="10"/>
        <v>47.078571153454341</v>
      </c>
      <c r="D206" s="23">
        <f t="shared" si="8"/>
        <v>9.8933063758672759</v>
      </c>
      <c r="E206" s="31">
        <f t="shared" si="11"/>
        <v>2645.1172131207413</v>
      </c>
    </row>
    <row r="207" spans="1:5" s="19" customFormat="1" x14ac:dyDescent="0.2">
      <c r="A207" s="22">
        <v>190</v>
      </c>
      <c r="B207" s="23">
        <f t="shared" si="9"/>
        <v>56.971877529321617</v>
      </c>
      <c r="C207" s="23">
        <f t="shared" si="10"/>
        <v>47.251575929288194</v>
      </c>
      <c r="D207" s="23">
        <f t="shared" si="8"/>
        <v>9.7203016000334266</v>
      </c>
      <c r="E207" s="31">
        <f t="shared" si="11"/>
        <v>2597.8656371914531</v>
      </c>
    </row>
    <row r="208" spans="1:5" s="19" customFormat="1" x14ac:dyDescent="0.2">
      <c r="A208" s="22">
        <v>191</v>
      </c>
      <c r="B208" s="23">
        <f t="shared" si="9"/>
        <v>56.971877529321617</v>
      </c>
      <c r="C208" s="23">
        <f t="shared" si="10"/>
        <v>47.425216464698593</v>
      </c>
      <c r="D208" s="23">
        <f t="shared" si="8"/>
        <v>9.5466610646230219</v>
      </c>
      <c r="E208" s="31">
        <f t="shared" si="11"/>
        <v>2550.4404207267544</v>
      </c>
    </row>
    <row r="209" spans="1:5" s="19" customFormat="1" x14ac:dyDescent="0.2">
      <c r="A209" s="22">
        <v>192</v>
      </c>
      <c r="B209" s="23">
        <f t="shared" si="9"/>
        <v>56.971877529321617</v>
      </c>
      <c r="C209" s="23">
        <f t="shared" si="10"/>
        <v>47.599495095980821</v>
      </c>
      <c r="D209" s="23">
        <f t="shared" si="8"/>
        <v>9.3723824333407961</v>
      </c>
      <c r="E209" s="31">
        <f t="shared" si="11"/>
        <v>2502.8409256307737</v>
      </c>
    </row>
    <row r="210" spans="1:5" s="19" customFormat="1" x14ac:dyDescent="0.2">
      <c r="A210" s="22">
        <v>193</v>
      </c>
      <c r="B210" s="23">
        <f t="shared" si="9"/>
        <v>56.971877529321617</v>
      </c>
      <c r="C210" s="23">
        <f t="shared" si="10"/>
        <v>47.774414168015582</v>
      </c>
      <c r="D210" s="23">
        <f t="shared" ref="D210:D273" si="12">E209*B$7</f>
        <v>9.1974633613060384</v>
      </c>
      <c r="E210" s="31">
        <f t="shared" si="11"/>
        <v>2455.0665114627582</v>
      </c>
    </row>
    <row r="211" spans="1:5" s="19" customFormat="1" x14ac:dyDescent="0.2">
      <c r="A211" s="22">
        <v>194</v>
      </c>
      <c r="B211" s="23">
        <f t="shared" ref="B211:B274" si="13">B$9</f>
        <v>56.971877529321617</v>
      </c>
      <c r="C211" s="23">
        <f t="shared" ref="C211:C274" si="14">B211-D211</f>
        <v>47.949976034300562</v>
      </c>
      <c r="D211" s="23">
        <f t="shared" si="12"/>
        <v>9.0219014950210514</v>
      </c>
      <c r="E211" s="31">
        <f t="shared" ref="E211:E274" si="15">E210-C211</f>
        <v>2407.1165354284576</v>
      </c>
    </row>
    <row r="212" spans="1:5" s="19" customFormat="1" x14ac:dyDescent="0.2">
      <c r="A212" s="22">
        <v>195</v>
      </c>
      <c r="B212" s="23">
        <f t="shared" si="13"/>
        <v>56.971877529321617</v>
      </c>
      <c r="C212" s="23">
        <f t="shared" si="14"/>
        <v>48.126183056982136</v>
      </c>
      <c r="D212" s="23">
        <f t="shared" si="12"/>
        <v>8.8456944723394813</v>
      </c>
      <c r="E212" s="31">
        <f t="shared" si="15"/>
        <v>2358.9903523714756</v>
      </c>
    </row>
    <row r="213" spans="1:5" s="19" customFormat="1" x14ac:dyDescent="0.2">
      <c r="A213" s="22">
        <v>196</v>
      </c>
      <c r="B213" s="23">
        <f t="shared" si="13"/>
        <v>56.971877529321617</v>
      </c>
      <c r="C213" s="23">
        <f t="shared" si="14"/>
        <v>48.303037606887074</v>
      </c>
      <c r="D213" s="23">
        <f t="shared" si="12"/>
        <v>8.6688399224345396</v>
      </c>
      <c r="E213" s="31">
        <f t="shared" si="15"/>
        <v>2310.6873147645883</v>
      </c>
    </row>
    <row r="214" spans="1:5" s="19" customFormat="1" x14ac:dyDescent="0.2">
      <c r="A214" s="22">
        <v>197</v>
      </c>
      <c r="B214" s="23">
        <f t="shared" si="13"/>
        <v>56.971877529321617</v>
      </c>
      <c r="C214" s="23">
        <f t="shared" si="14"/>
        <v>48.480542063554523</v>
      </c>
      <c r="D214" s="23">
        <f t="shared" si="12"/>
        <v>8.4913354657670954</v>
      </c>
      <c r="E214" s="31">
        <f t="shared" si="15"/>
        <v>2262.206772701034</v>
      </c>
    </row>
    <row r="215" spans="1:5" s="19" customFormat="1" x14ac:dyDescent="0.2">
      <c r="A215" s="22">
        <v>198</v>
      </c>
      <c r="B215" s="23">
        <f t="shared" si="13"/>
        <v>56.971877529321617</v>
      </c>
      <c r="C215" s="23">
        <f t="shared" si="14"/>
        <v>48.658698815267947</v>
      </c>
      <c r="D215" s="23">
        <f t="shared" si="12"/>
        <v>8.3131787140536719</v>
      </c>
      <c r="E215" s="31">
        <f t="shared" si="15"/>
        <v>2213.5480738857659</v>
      </c>
    </row>
    <row r="216" spans="1:5" s="19" customFormat="1" x14ac:dyDescent="0.2">
      <c r="A216" s="22">
        <v>199</v>
      </c>
      <c r="B216" s="23">
        <f t="shared" si="13"/>
        <v>56.971877529321617</v>
      </c>
      <c r="C216" s="23">
        <f t="shared" si="14"/>
        <v>48.837510259087317</v>
      </c>
      <c r="D216" s="23">
        <f t="shared" si="12"/>
        <v>8.1343672702342982</v>
      </c>
      <c r="E216" s="31">
        <f t="shared" si="15"/>
        <v>2164.7105636266788</v>
      </c>
    </row>
    <row r="217" spans="1:5" s="19" customFormat="1" x14ac:dyDescent="0.2">
      <c r="A217" s="22">
        <v>200</v>
      </c>
      <c r="B217" s="23">
        <f t="shared" si="13"/>
        <v>56.971877529321617</v>
      </c>
      <c r="C217" s="23">
        <f t="shared" si="14"/>
        <v>49.01697880088134</v>
      </c>
      <c r="D217" s="23">
        <f t="shared" si="12"/>
        <v>7.9548987284402743</v>
      </c>
      <c r="E217" s="31">
        <f t="shared" si="15"/>
        <v>2115.6935848257976</v>
      </c>
    </row>
    <row r="218" spans="1:5" s="19" customFormat="1" x14ac:dyDescent="0.2">
      <c r="A218" s="22">
        <v>201</v>
      </c>
      <c r="B218" s="23">
        <f t="shared" si="13"/>
        <v>56.971877529321617</v>
      </c>
      <c r="C218" s="23">
        <f t="shared" si="14"/>
        <v>49.197106855359834</v>
      </c>
      <c r="D218" s="23">
        <f t="shared" si="12"/>
        <v>7.7747706739617826</v>
      </c>
      <c r="E218" s="31">
        <f t="shared" si="15"/>
        <v>2066.4964779704378</v>
      </c>
    </row>
    <row r="219" spans="1:5" s="19" customFormat="1" x14ac:dyDescent="0.2">
      <c r="A219" s="22">
        <v>202</v>
      </c>
      <c r="B219" s="23">
        <f t="shared" si="13"/>
        <v>56.971877529321617</v>
      </c>
      <c r="C219" s="23">
        <f t="shared" si="14"/>
        <v>49.377896846106211</v>
      </c>
      <c r="D219" s="23">
        <f t="shared" si="12"/>
        <v>7.5939806832154098</v>
      </c>
      <c r="E219" s="31">
        <f t="shared" si="15"/>
        <v>2017.1185811243315</v>
      </c>
    </row>
    <row r="220" spans="1:5" s="19" customFormat="1" x14ac:dyDescent="0.2">
      <c r="A220" s="22">
        <v>203</v>
      </c>
      <c r="B220" s="23">
        <f t="shared" si="13"/>
        <v>56.971877529321617</v>
      </c>
      <c r="C220" s="23">
        <f t="shared" si="14"/>
        <v>49.559351205610078</v>
      </c>
      <c r="D220" s="23">
        <f t="shared" si="12"/>
        <v>7.4125263237115373</v>
      </c>
      <c r="E220" s="31">
        <f t="shared" si="15"/>
        <v>1967.5592299187215</v>
      </c>
    </row>
    <row r="221" spans="1:5" s="19" customFormat="1" x14ac:dyDescent="0.2">
      <c r="A221" s="22">
        <v>204</v>
      </c>
      <c r="B221" s="23">
        <f t="shared" si="13"/>
        <v>56.971877529321617</v>
      </c>
      <c r="C221" s="23">
        <f t="shared" si="14"/>
        <v>49.741472375300006</v>
      </c>
      <c r="D221" s="23">
        <f t="shared" si="12"/>
        <v>7.2304051540216099</v>
      </c>
      <c r="E221" s="31">
        <f t="shared" si="15"/>
        <v>1917.8177575434215</v>
      </c>
    </row>
    <row r="222" spans="1:5" s="19" customFormat="1" x14ac:dyDescent="0.2">
      <c r="A222" s="22">
        <v>205</v>
      </c>
      <c r="B222" s="23">
        <f t="shared" si="13"/>
        <v>56.971877529321617</v>
      </c>
      <c r="C222" s="23">
        <f t="shared" si="14"/>
        <v>49.924262805576326</v>
      </c>
      <c r="D222" s="23">
        <f t="shared" si="12"/>
        <v>7.047614723745288</v>
      </c>
      <c r="E222" s="31">
        <f t="shared" si="15"/>
        <v>1867.8934947378452</v>
      </c>
    </row>
    <row r="223" spans="1:5" s="19" customFormat="1" x14ac:dyDescent="0.2">
      <c r="A223" s="22">
        <v>206</v>
      </c>
      <c r="B223" s="23">
        <f t="shared" si="13"/>
        <v>56.971877529321617</v>
      </c>
      <c r="C223" s="23">
        <f t="shared" si="14"/>
        <v>50.107724955844141</v>
      </c>
      <c r="D223" s="23">
        <f t="shared" si="12"/>
        <v>6.864152573477476</v>
      </c>
      <c r="E223" s="31">
        <f t="shared" si="15"/>
        <v>1817.7857697820011</v>
      </c>
    </row>
    <row r="224" spans="1:5" s="19" customFormat="1" x14ac:dyDescent="0.2">
      <c r="A224" s="22">
        <v>207</v>
      </c>
      <c r="B224" s="23">
        <f t="shared" si="13"/>
        <v>56.971877529321617</v>
      </c>
      <c r="C224" s="23">
        <f t="shared" si="14"/>
        <v>50.291861294546379</v>
      </c>
      <c r="D224" s="23">
        <f t="shared" si="12"/>
        <v>6.6800162347752359</v>
      </c>
      <c r="E224" s="31">
        <f t="shared" si="15"/>
        <v>1767.4939084874547</v>
      </c>
    </row>
    <row r="225" spans="1:5" s="19" customFormat="1" x14ac:dyDescent="0.2">
      <c r="A225" s="22">
        <v>208</v>
      </c>
      <c r="B225" s="23">
        <f t="shared" si="13"/>
        <v>56.971877529321617</v>
      </c>
      <c r="C225" s="23">
        <f t="shared" si="14"/>
        <v>50.476674299197043</v>
      </c>
      <c r="D225" s="23">
        <f t="shared" si="12"/>
        <v>6.495203230124571</v>
      </c>
      <c r="E225" s="31">
        <f t="shared" si="15"/>
        <v>1717.0172341882576</v>
      </c>
    </row>
    <row r="226" spans="1:5" s="19" customFormat="1" x14ac:dyDescent="0.2">
      <c r="A226" s="22">
        <v>209</v>
      </c>
      <c r="B226" s="23">
        <f t="shared" si="13"/>
        <v>56.971877529321617</v>
      </c>
      <c r="C226" s="23">
        <f t="shared" si="14"/>
        <v>50.662166456414525</v>
      </c>
      <c r="D226" s="23">
        <f t="shared" si="12"/>
        <v>6.309711072907092</v>
      </c>
      <c r="E226" s="31">
        <f t="shared" si="15"/>
        <v>1666.3550677318431</v>
      </c>
    </row>
    <row r="227" spans="1:5" s="19" customFormat="1" x14ac:dyDescent="0.2">
      <c r="A227" s="22">
        <v>210</v>
      </c>
      <c r="B227" s="23">
        <f t="shared" si="13"/>
        <v>56.971877529321617</v>
      </c>
      <c r="C227" s="23">
        <f t="shared" si="14"/>
        <v>50.848340261955052</v>
      </c>
      <c r="D227" s="23">
        <f t="shared" si="12"/>
        <v>6.1235372673665633</v>
      </c>
      <c r="E227" s="31">
        <f t="shared" si="15"/>
        <v>1615.5067274698881</v>
      </c>
    </row>
    <row r="228" spans="1:5" s="19" customFormat="1" x14ac:dyDescent="0.2">
      <c r="A228" s="22">
        <v>211</v>
      </c>
      <c r="B228" s="23">
        <f t="shared" si="13"/>
        <v>56.971877529321617</v>
      </c>
      <c r="C228" s="23">
        <f t="shared" si="14"/>
        <v>51.035198220746295</v>
      </c>
      <c r="D228" s="23">
        <f t="shared" si="12"/>
        <v>5.9366793085753198</v>
      </c>
      <c r="E228" s="31">
        <f t="shared" si="15"/>
        <v>1564.4715292491419</v>
      </c>
    </row>
    <row r="229" spans="1:5" s="19" customFormat="1" x14ac:dyDescent="0.2">
      <c r="A229" s="22">
        <v>212</v>
      </c>
      <c r="B229" s="23">
        <f t="shared" si="13"/>
        <v>56.971877529321617</v>
      </c>
      <c r="C229" s="23">
        <f t="shared" si="14"/>
        <v>51.222742846921051</v>
      </c>
      <c r="D229" s="23">
        <f t="shared" si="12"/>
        <v>5.7491346824005634</v>
      </c>
      <c r="E229" s="31">
        <f t="shared" si="15"/>
        <v>1513.248786402221</v>
      </c>
    </row>
    <row r="230" spans="1:5" s="19" customFormat="1" x14ac:dyDescent="0.2">
      <c r="A230" s="22">
        <v>213</v>
      </c>
      <c r="B230" s="23">
        <f t="shared" si="13"/>
        <v>56.971877529321617</v>
      </c>
      <c r="C230" s="23">
        <f t="shared" si="14"/>
        <v>51.410976663851081</v>
      </c>
      <c r="D230" s="23">
        <f t="shared" si="12"/>
        <v>5.560900865470539</v>
      </c>
      <c r="E230" s="31">
        <f t="shared" si="15"/>
        <v>1461.83780973837</v>
      </c>
    </row>
    <row r="231" spans="1:5" s="19" customFormat="1" x14ac:dyDescent="0.2">
      <c r="A231" s="22">
        <v>214</v>
      </c>
      <c r="B231" s="23">
        <f t="shared" si="13"/>
        <v>56.971877529321617</v>
      </c>
      <c r="C231" s="23">
        <f t="shared" si="14"/>
        <v>51.599902204181035</v>
      </c>
      <c r="D231" s="23">
        <f t="shared" si="12"/>
        <v>5.3719753251405793</v>
      </c>
      <c r="E231" s="31">
        <f t="shared" si="15"/>
        <v>1410.2379075341889</v>
      </c>
    </row>
    <row r="232" spans="1:5" s="19" customFormat="1" x14ac:dyDescent="0.2">
      <c r="A232" s="22">
        <v>215</v>
      </c>
      <c r="B232" s="23">
        <f t="shared" si="13"/>
        <v>56.971877529321617</v>
      </c>
      <c r="C232" s="23">
        <f t="shared" si="14"/>
        <v>51.789522009862587</v>
      </c>
      <c r="D232" s="23">
        <f t="shared" si="12"/>
        <v>5.1823555194590325</v>
      </c>
      <c r="E232" s="31">
        <f t="shared" si="15"/>
        <v>1358.4483855243263</v>
      </c>
    </row>
    <row r="233" spans="1:5" s="19" customFormat="1" x14ac:dyDescent="0.2">
      <c r="A233" s="22">
        <v>216</v>
      </c>
      <c r="B233" s="23">
        <f t="shared" si="13"/>
        <v>56.971877529321617</v>
      </c>
      <c r="C233" s="23">
        <f t="shared" si="14"/>
        <v>51.97983863218856</v>
      </c>
      <c r="D233" s="23">
        <f t="shared" si="12"/>
        <v>4.9920388971330585</v>
      </c>
      <c r="E233" s="31">
        <f t="shared" si="15"/>
        <v>1306.4685468921377</v>
      </c>
    </row>
    <row r="234" spans="1:5" s="19" customFormat="1" x14ac:dyDescent="0.2">
      <c r="A234" s="22">
        <v>217</v>
      </c>
      <c r="B234" s="23">
        <f t="shared" si="13"/>
        <v>56.971877529321617</v>
      </c>
      <c r="C234" s="23">
        <f t="shared" si="14"/>
        <v>52.170854631827318</v>
      </c>
      <c r="D234" s="23">
        <f t="shared" si="12"/>
        <v>4.8010228974943008</v>
      </c>
      <c r="E234" s="31">
        <f t="shared" si="15"/>
        <v>1254.2976922603104</v>
      </c>
    </row>
    <row r="235" spans="1:5" s="19" customFormat="1" x14ac:dyDescent="0.2">
      <c r="A235" s="22">
        <v>218</v>
      </c>
      <c r="B235" s="23">
        <f t="shared" si="13"/>
        <v>56.971877529321617</v>
      </c>
      <c r="C235" s="23">
        <f t="shared" si="14"/>
        <v>52.362572578857183</v>
      </c>
      <c r="D235" s="23">
        <f t="shared" si="12"/>
        <v>4.6093049504644377</v>
      </c>
      <c r="E235" s="31">
        <f t="shared" si="15"/>
        <v>1201.9351196814532</v>
      </c>
    </row>
    <row r="236" spans="1:5" s="19" customFormat="1" x14ac:dyDescent="0.2">
      <c r="A236" s="22">
        <v>219</v>
      </c>
      <c r="B236" s="23">
        <f t="shared" si="13"/>
        <v>56.971877529321617</v>
      </c>
      <c r="C236" s="23">
        <f t="shared" si="14"/>
        <v>52.554995052801019</v>
      </c>
      <c r="D236" s="23">
        <f t="shared" si="12"/>
        <v>4.4168824765205965</v>
      </c>
      <c r="E236" s="31">
        <f t="shared" si="15"/>
        <v>1149.3801246286521</v>
      </c>
    </row>
    <row r="237" spans="1:5" s="19" customFormat="1" x14ac:dyDescent="0.2">
      <c r="A237" s="22">
        <v>220</v>
      </c>
      <c r="B237" s="23">
        <f t="shared" si="13"/>
        <v>56.971877529321617</v>
      </c>
      <c r="C237" s="23">
        <f t="shared" si="14"/>
        <v>52.748124642660969</v>
      </c>
      <c r="D237" s="23">
        <f t="shared" si="12"/>
        <v>4.2237528866606509</v>
      </c>
      <c r="E237" s="31">
        <f t="shared" si="15"/>
        <v>1096.6319999859911</v>
      </c>
    </row>
    <row r="238" spans="1:5" s="19" customFormat="1" x14ac:dyDescent="0.2">
      <c r="A238" s="22">
        <v>221</v>
      </c>
      <c r="B238" s="23">
        <f t="shared" si="13"/>
        <v>56.971877529321617</v>
      </c>
      <c r="C238" s="23">
        <f t="shared" si="14"/>
        <v>52.94196394695323</v>
      </c>
      <c r="D238" s="23">
        <f t="shared" si="12"/>
        <v>4.0299135823683851</v>
      </c>
      <c r="E238" s="31">
        <f t="shared" si="15"/>
        <v>1043.690036039038</v>
      </c>
    </row>
    <row r="239" spans="1:5" s="19" customFormat="1" x14ac:dyDescent="0.2">
      <c r="A239" s="22">
        <v>222</v>
      </c>
      <c r="B239" s="23">
        <f t="shared" si="13"/>
        <v>56.971877529321617</v>
      </c>
      <c r="C239" s="23">
        <f t="shared" si="14"/>
        <v>53.136515573743083</v>
      </c>
      <c r="D239" s="23">
        <f t="shared" si="12"/>
        <v>3.835361955578533</v>
      </c>
      <c r="E239" s="31">
        <f t="shared" si="15"/>
        <v>990.55352046529492</v>
      </c>
    </row>
    <row r="240" spans="1:5" s="19" customFormat="1" x14ac:dyDescent="0.2">
      <c r="A240" s="22">
        <v>223</v>
      </c>
      <c r="B240" s="23">
        <f t="shared" si="13"/>
        <v>56.971877529321617</v>
      </c>
      <c r="C240" s="23">
        <f t="shared" si="14"/>
        <v>53.331782140679934</v>
      </c>
      <c r="D240" s="23">
        <f t="shared" si="12"/>
        <v>3.6400953886416829</v>
      </c>
      <c r="E240" s="31">
        <f t="shared" si="15"/>
        <v>937.22173832461499</v>
      </c>
    </row>
    <row r="241" spans="1:5" s="19" customFormat="1" x14ac:dyDescent="0.2">
      <c r="A241" s="22">
        <v>224</v>
      </c>
      <c r="B241" s="23">
        <f t="shared" si="13"/>
        <v>56.971877529321617</v>
      </c>
      <c r="C241" s="23">
        <f t="shared" si="14"/>
        <v>53.527766275032555</v>
      </c>
      <c r="D241" s="23">
        <f t="shared" si="12"/>
        <v>3.4441112542890622</v>
      </c>
      <c r="E241" s="31">
        <f t="shared" si="15"/>
        <v>883.69397204958238</v>
      </c>
    </row>
    <row r="242" spans="1:5" s="19" customFormat="1" x14ac:dyDescent="0.2">
      <c r="A242" s="22">
        <v>225</v>
      </c>
      <c r="B242" s="23">
        <f t="shared" si="13"/>
        <v>56.971877529321617</v>
      </c>
      <c r="C242" s="23">
        <f t="shared" si="14"/>
        <v>53.724470613724435</v>
      </c>
      <c r="D242" s="23">
        <f t="shared" si="12"/>
        <v>3.2474069155971854</v>
      </c>
      <c r="E242" s="31">
        <f t="shared" si="15"/>
        <v>829.96950143585798</v>
      </c>
    </row>
    <row r="243" spans="1:5" s="19" customFormat="1" x14ac:dyDescent="0.2">
      <c r="A243" s="22">
        <v>226</v>
      </c>
      <c r="B243" s="23">
        <f t="shared" si="13"/>
        <v>56.971877529321617</v>
      </c>
      <c r="C243" s="23">
        <f t="shared" si="14"/>
        <v>53.921897803369241</v>
      </c>
      <c r="D243" s="23">
        <f t="shared" si="12"/>
        <v>3.0499797259523778</v>
      </c>
      <c r="E243" s="31">
        <f t="shared" si="15"/>
        <v>776.04760363248874</v>
      </c>
    </row>
    <row r="244" spans="1:5" s="19" customFormat="1" x14ac:dyDescent="0.2">
      <c r="A244" s="22">
        <v>227</v>
      </c>
      <c r="B244" s="23">
        <f t="shared" si="13"/>
        <v>56.971877529321617</v>
      </c>
      <c r="C244" s="23">
        <f t="shared" si="14"/>
        <v>54.120050500306455</v>
      </c>
      <c r="D244" s="23">
        <f t="shared" si="12"/>
        <v>2.8518270290151615</v>
      </c>
      <c r="E244" s="31">
        <f t="shared" si="15"/>
        <v>721.92755313218231</v>
      </c>
    </row>
    <row r="245" spans="1:5" s="19" customFormat="1" x14ac:dyDescent="0.2">
      <c r="A245" s="22">
        <v>228</v>
      </c>
      <c r="B245" s="23">
        <f t="shared" si="13"/>
        <v>56.971877529321617</v>
      </c>
      <c r="C245" s="23">
        <f t="shared" si="14"/>
        <v>54.318931370637102</v>
      </c>
      <c r="D245" s="23">
        <f t="shared" si="12"/>
        <v>2.652946158684518</v>
      </c>
      <c r="E245" s="31">
        <f t="shared" si="15"/>
        <v>667.60862176154524</v>
      </c>
    </row>
    <row r="246" spans="1:5" s="19" customFormat="1" x14ac:dyDescent="0.2">
      <c r="A246" s="22">
        <v>229</v>
      </c>
      <c r="B246" s="23">
        <f t="shared" si="13"/>
        <v>56.971877529321617</v>
      </c>
      <c r="C246" s="23">
        <f t="shared" si="14"/>
        <v>54.518543090259598</v>
      </c>
      <c r="D246" s="23">
        <f t="shared" si="12"/>
        <v>2.4533344390620169</v>
      </c>
      <c r="E246" s="31">
        <f t="shared" si="15"/>
        <v>613.0900786712856</v>
      </c>
    </row>
    <row r="247" spans="1:5" s="19" customFormat="1" x14ac:dyDescent="0.2">
      <c r="A247" s="22">
        <v>230</v>
      </c>
      <c r="B247" s="23">
        <f t="shared" si="13"/>
        <v>56.971877529321617</v>
      </c>
      <c r="C247" s="23">
        <f t="shared" si="14"/>
        <v>54.718888344905807</v>
      </c>
      <c r="D247" s="23">
        <f t="shared" si="12"/>
        <v>2.2529891844158092</v>
      </c>
      <c r="E247" s="31">
        <f t="shared" si="15"/>
        <v>558.37119032637975</v>
      </c>
    </row>
    <row r="248" spans="1:5" s="19" customFormat="1" x14ac:dyDescent="0.2">
      <c r="A248" s="22">
        <v>231</v>
      </c>
      <c r="B248" s="23">
        <f t="shared" si="13"/>
        <v>56.971877529321617</v>
      </c>
      <c r="C248" s="23">
        <f t="shared" si="14"/>
        <v>54.919969830177124</v>
      </c>
      <c r="D248" s="23">
        <f t="shared" si="12"/>
        <v>2.0519076991444947</v>
      </c>
      <c r="E248" s="31">
        <f t="shared" si="15"/>
        <v>503.45122049620261</v>
      </c>
    </row>
    <row r="249" spans="1:5" s="19" customFormat="1" x14ac:dyDescent="0.2">
      <c r="A249" s="22">
        <v>232</v>
      </c>
      <c r="B249" s="23">
        <f t="shared" si="13"/>
        <v>56.971877529321617</v>
      </c>
      <c r="C249" s="23">
        <f t="shared" si="14"/>
        <v>55.121790251580762</v>
      </c>
      <c r="D249" s="23">
        <f t="shared" si="12"/>
        <v>1.8500872777408515</v>
      </c>
      <c r="E249" s="31">
        <f t="shared" si="15"/>
        <v>448.32943024462185</v>
      </c>
    </row>
    <row r="250" spans="1:5" s="19" customFormat="1" x14ac:dyDescent="0.2">
      <c r="A250" s="22">
        <v>233</v>
      </c>
      <c r="B250" s="23">
        <f t="shared" si="13"/>
        <v>56.971877529321617</v>
      </c>
      <c r="C250" s="23">
        <f t="shared" si="14"/>
        <v>55.324352324566185</v>
      </c>
      <c r="D250" s="23">
        <f t="shared" si="12"/>
        <v>1.6475252047554341</v>
      </c>
      <c r="E250" s="31">
        <f t="shared" si="15"/>
        <v>393.00507792005567</v>
      </c>
    </row>
    <row r="251" spans="1:5" s="19" customFormat="1" x14ac:dyDescent="0.2">
      <c r="A251" s="22">
        <v>234</v>
      </c>
      <c r="B251" s="23">
        <f t="shared" si="13"/>
        <v>56.971877529321617</v>
      </c>
      <c r="C251" s="23">
        <f t="shared" si="14"/>
        <v>55.52765877456158</v>
      </c>
      <c r="D251" s="23">
        <f t="shared" si="12"/>
        <v>1.4442187547600378</v>
      </c>
      <c r="E251" s="31">
        <f t="shared" si="15"/>
        <v>337.47741914549408</v>
      </c>
    </row>
    <row r="252" spans="1:5" s="19" customFormat="1" x14ac:dyDescent="0.2">
      <c r="A252" s="22">
        <v>235</v>
      </c>
      <c r="B252" s="23">
        <f t="shared" si="13"/>
        <v>56.971877529321617</v>
      </c>
      <c r="C252" s="23">
        <f t="shared" si="14"/>
        <v>55.731712337010585</v>
      </c>
      <c r="D252" s="23">
        <f t="shared" si="12"/>
        <v>1.2401651923110291</v>
      </c>
      <c r="E252" s="31">
        <f t="shared" si="15"/>
        <v>281.74570680848348</v>
      </c>
    </row>
    <row r="253" spans="1:5" s="19" customFormat="1" x14ac:dyDescent="0.2">
      <c r="A253" s="22">
        <v>236</v>
      </c>
      <c r="B253" s="23">
        <f t="shared" si="13"/>
        <v>56.971877529321617</v>
      </c>
      <c r="C253" s="23">
        <f t="shared" si="14"/>
        <v>55.936515757409076</v>
      </c>
      <c r="D253" s="23">
        <f t="shared" si="12"/>
        <v>1.0353617719125401</v>
      </c>
      <c r="E253" s="31">
        <f t="shared" si="15"/>
        <v>225.80919105107441</v>
      </c>
    </row>
    <row r="254" spans="1:5" s="19" customFormat="1" x14ac:dyDescent="0.2">
      <c r="A254" s="22">
        <v>237</v>
      </c>
      <c r="B254" s="23">
        <f t="shared" si="13"/>
        <v>56.971877529321617</v>
      </c>
      <c r="C254" s="23">
        <f t="shared" si="14"/>
        <v>56.14207179134209</v>
      </c>
      <c r="D254" s="23">
        <f t="shared" si="12"/>
        <v>0.82980573797952917</v>
      </c>
      <c r="E254" s="31">
        <f t="shared" si="15"/>
        <v>169.66711925973232</v>
      </c>
    </row>
    <row r="255" spans="1:5" s="19" customFormat="1" x14ac:dyDescent="0.2">
      <c r="A255" s="22">
        <v>238</v>
      </c>
      <c r="B255" s="23">
        <f t="shared" si="13"/>
        <v>56.971877529321617</v>
      </c>
      <c r="C255" s="23">
        <f t="shared" si="14"/>
        <v>56.348383204520914</v>
      </c>
      <c r="D255" s="23">
        <f t="shared" si="12"/>
        <v>0.62349432480070466</v>
      </c>
      <c r="E255" s="31">
        <f t="shared" si="15"/>
        <v>113.3187360552114</v>
      </c>
    </row>
    <row r="256" spans="1:5" s="19" customFormat="1" x14ac:dyDescent="0.2">
      <c r="A256" s="22">
        <v>239</v>
      </c>
      <c r="B256" s="23">
        <f t="shared" si="13"/>
        <v>56.971877529321617</v>
      </c>
      <c r="C256" s="23">
        <f t="shared" si="14"/>
        <v>56.555452772820303</v>
      </c>
      <c r="D256" s="23">
        <f t="shared" si="12"/>
        <v>0.41642475650131322</v>
      </c>
      <c r="E256" s="31">
        <f t="shared" si="15"/>
        <v>56.7632832823911</v>
      </c>
    </row>
    <row r="257" spans="1:5" s="19" customFormat="1" x14ac:dyDescent="0.2">
      <c r="A257" s="22">
        <v>240</v>
      </c>
      <c r="B257" s="23">
        <f t="shared" si="13"/>
        <v>56.971877529321617</v>
      </c>
      <c r="C257" s="23">
        <f t="shared" si="14"/>
        <v>56.763283282315825</v>
      </c>
      <c r="D257" s="23">
        <f t="shared" si="12"/>
        <v>0.20859424700579079</v>
      </c>
      <c r="E257" s="31">
        <f t="shared" si="15"/>
        <v>7.5274897426425014E-11</v>
      </c>
    </row>
    <row r="258" spans="1:5" s="19" customFormat="1" x14ac:dyDescent="0.2">
      <c r="A258" s="22">
        <v>241</v>
      </c>
      <c r="B258" s="23">
        <f t="shared" si="13"/>
        <v>56.971877529321617</v>
      </c>
      <c r="C258" s="23">
        <f t="shared" si="14"/>
        <v>56.97187752932134</v>
      </c>
      <c r="D258" s="23">
        <f t="shared" si="12"/>
        <v>2.7662090067954639E-13</v>
      </c>
      <c r="E258" s="31">
        <f t="shared" si="15"/>
        <v>-56.971877529246065</v>
      </c>
    </row>
    <row r="259" spans="1:5" s="19" customFormat="1" x14ac:dyDescent="0.2">
      <c r="A259" s="22">
        <v>242</v>
      </c>
      <c r="B259" s="23">
        <f t="shared" si="13"/>
        <v>56.971877529321617</v>
      </c>
      <c r="C259" s="23">
        <f t="shared" si="14"/>
        <v>57.18123832042663</v>
      </c>
      <c r="D259" s="23">
        <f t="shared" si="12"/>
        <v>-0.20936079110501046</v>
      </c>
      <c r="E259" s="31">
        <f t="shared" si="15"/>
        <v>-114.1531158496727</v>
      </c>
    </row>
    <row r="260" spans="1:5" s="19" customFormat="1" x14ac:dyDescent="0.2">
      <c r="A260" s="22">
        <v>243</v>
      </c>
      <c r="B260" s="23">
        <f t="shared" si="13"/>
        <v>56.971877529321617</v>
      </c>
      <c r="C260" s="23">
        <f t="shared" si="14"/>
        <v>57.391368472535149</v>
      </c>
      <c r="D260" s="23">
        <f t="shared" si="12"/>
        <v>-0.4194909432135342</v>
      </c>
      <c r="E260" s="31">
        <f t="shared" si="15"/>
        <v>-171.54448432220784</v>
      </c>
    </row>
    <row r="261" spans="1:5" s="19" customFormat="1" x14ac:dyDescent="0.2">
      <c r="A261" s="22">
        <v>244</v>
      </c>
      <c r="B261" s="23">
        <f t="shared" si="13"/>
        <v>56.971877529321617</v>
      </c>
      <c r="C261" s="23">
        <f t="shared" si="14"/>
        <v>57.602270812901956</v>
      </c>
      <c r="D261" s="23">
        <f t="shared" si="12"/>
        <v>-0.63039328358034141</v>
      </c>
      <c r="E261" s="31">
        <f t="shared" si="15"/>
        <v>-229.1467551351098</v>
      </c>
    </row>
    <row r="262" spans="1:5" s="19" customFormat="1" x14ac:dyDescent="0.2">
      <c r="A262" s="22">
        <v>245</v>
      </c>
      <c r="B262" s="23">
        <f t="shared" si="13"/>
        <v>56.971877529321617</v>
      </c>
      <c r="C262" s="23">
        <f t="shared" si="14"/>
        <v>57.813948179171717</v>
      </c>
      <c r="D262" s="23">
        <f t="shared" si="12"/>
        <v>-0.84207064985010283</v>
      </c>
      <c r="E262" s="31">
        <f t="shared" si="15"/>
        <v>-286.96070331428155</v>
      </c>
    </row>
    <row r="263" spans="1:5" s="19" customFormat="1" x14ac:dyDescent="0.2">
      <c r="A263" s="22">
        <v>246</v>
      </c>
      <c r="B263" s="23">
        <f t="shared" si="13"/>
        <v>56.971877529321617</v>
      </c>
      <c r="C263" s="23">
        <f t="shared" si="14"/>
        <v>58.026403419416908</v>
      </c>
      <c r="D263" s="23">
        <f t="shared" si="12"/>
        <v>-1.0545258900952921</v>
      </c>
      <c r="E263" s="31">
        <f t="shared" si="15"/>
        <v>-344.98710673369845</v>
      </c>
    </row>
    <row r="264" spans="1:5" s="19" customFormat="1" x14ac:dyDescent="0.2">
      <c r="A264" s="22">
        <v>247</v>
      </c>
      <c r="B264" s="23">
        <f t="shared" si="13"/>
        <v>56.971877529321617</v>
      </c>
      <c r="C264" s="23">
        <f t="shared" si="14"/>
        <v>58.239639392176123</v>
      </c>
      <c r="D264" s="23">
        <f t="shared" si="12"/>
        <v>-1.2677618628545064</v>
      </c>
      <c r="E264" s="31">
        <f t="shared" si="15"/>
        <v>-403.22674612587457</v>
      </c>
    </row>
    <row r="265" spans="1:5" s="19" customFormat="1" x14ac:dyDescent="0.2">
      <c r="A265" s="22">
        <v>248</v>
      </c>
      <c r="B265" s="23">
        <f t="shared" si="13"/>
        <v>56.971877529321617</v>
      </c>
      <c r="C265" s="23">
        <f t="shared" si="14"/>
        <v>58.453658966492547</v>
      </c>
      <c r="D265" s="23">
        <f t="shared" si="12"/>
        <v>-1.4817814371709277</v>
      </c>
      <c r="E265" s="31">
        <f t="shared" si="15"/>
        <v>-461.6804050923671</v>
      </c>
    </row>
    <row r="266" spans="1:5" s="19" customFormat="1" x14ac:dyDescent="0.2">
      <c r="A266" s="22">
        <v>249</v>
      </c>
      <c r="B266" s="23">
        <f t="shared" si="13"/>
        <v>56.971877529321617</v>
      </c>
      <c r="C266" s="23">
        <f t="shared" si="14"/>
        <v>58.668465021952542</v>
      </c>
      <c r="D266" s="23">
        <f t="shared" si="12"/>
        <v>-1.6965874926309241</v>
      </c>
      <c r="E266" s="31">
        <f t="shared" si="15"/>
        <v>-520.34887011431965</v>
      </c>
    </row>
    <row r="267" spans="1:5" s="19" customFormat="1" x14ac:dyDescent="0.2">
      <c r="A267" s="22">
        <v>250</v>
      </c>
      <c r="B267" s="23">
        <f t="shared" si="13"/>
        <v>56.971877529321617</v>
      </c>
      <c r="C267" s="23">
        <f t="shared" si="14"/>
        <v>58.884060448724412</v>
      </c>
      <c r="D267" s="23">
        <f t="shared" si="12"/>
        <v>-1.9121829194027962</v>
      </c>
      <c r="E267" s="31">
        <f t="shared" si="15"/>
        <v>-579.23293056304408</v>
      </c>
    </row>
    <row r="268" spans="1:5" s="19" customFormat="1" x14ac:dyDescent="0.2">
      <c r="A268" s="22">
        <v>251</v>
      </c>
      <c r="B268" s="23">
        <f t="shared" si="13"/>
        <v>56.971877529321617</v>
      </c>
      <c r="C268" s="23">
        <f t="shared" si="14"/>
        <v>59.100448147597277</v>
      </c>
      <c r="D268" s="23">
        <f t="shared" si="12"/>
        <v>-2.1285706182756603</v>
      </c>
      <c r="E268" s="31">
        <f t="shared" si="15"/>
        <v>-638.33337871064134</v>
      </c>
    </row>
    <row r="269" spans="1:5" s="19" customFormat="1" x14ac:dyDescent="0.2">
      <c r="A269" s="22">
        <v>252</v>
      </c>
      <c r="B269" s="23">
        <f t="shared" si="13"/>
        <v>56.971877529321617</v>
      </c>
      <c r="C269" s="23">
        <f t="shared" si="14"/>
        <v>59.317631030020095</v>
      </c>
      <c r="D269" s="23">
        <f t="shared" si="12"/>
        <v>-2.3457535006984815</v>
      </c>
      <c r="E269" s="31">
        <f t="shared" si="15"/>
        <v>-697.65100974066149</v>
      </c>
    </row>
    <row r="270" spans="1:5" s="19" customFormat="1" x14ac:dyDescent="0.2">
      <c r="A270" s="22">
        <v>253</v>
      </c>
      <c r="B270" s="23">
        <f t="shared" si="13"/>
        <v>56.971877529321617</v>
      </c>
      <c r="C270" s="23">
        <f t="shared" si="14"/>
        <v>59.53561201814086</v>
      </c>
      <c r="D270" s="23">
        <f t="shared" si="12"/>
        <v>-2.5637344888192444</v>
      </c>
      <c r="E270" s="31">
        <f t="shared" si="15"/>
        <v>-757.1866217588024</v>
      </c>
    </row>
    <row r="271" spans="1:5" s="19" customFormat="1" x14ac:dyDescent="0.2">
      <c r="A271" s="22">
        <v>254</v>
      </c>
      <c r="B271" s="23">
        <f t="shared" si="13"/>
        <v>56.971877529321617</v>
      </c>
      <c r="C271" s="23">
        <f t="shared" si="14"/>
        <v>59.754394044845888</v>
      </c>
      <c r="D271" s="23">
        <f t="shared" si="12"/>
        <v>-2.7825165155242697</v>
      </c>
      <c r="E271" s="31">
        <f t="shared" si="15"/>
        <v>-816.94101580364827</v>
      </c>
    </row>
    <row r="272" spans="1:5" s="19" customFormat="1" x14ac:dyDescent="0.2">
      <c r="A272" s="22">
        <v>255</v>
      </c>
      <c r="B272" s="23">
        <f t="shared" si="13"/>
        <v>56.971877529321617</v>
      </c>
      <c r="C272" s="23">
        <f t="shared" si="14"/>
        <v>59.973980053799295</v>
      </c>
      <c r="D272" s="23">
        <f t="shared" si="12"/>
        <v>-3.0021025244776771</v>
      </c>
      <c r="E272" s="31">
        <f t="shared" si="15"/>
        <v>-876.91499585744759</v>
      </c>
    </row>
    <row r="273" spans="1:5" s="19" customFormat="1" x14ac:dyDescent="0.2">
      <c r="A273" s="22">
        <v>256</v>
      </c>
      <c r="B273" s="23">
        <f t="shared" si="13"/>
        <v>56.971877529321617</v>
      </c>
      <c r="C273" s="23">
        <f t="shared" si="14"/>
        <v>60.19437299948261</v>
      </c>
      <c r="D273" s="23">
        <f t="shared" si="12"/>
        <v>-3.2224954701609909</v>
      </c>
      <c r="E273" s="31">
        <f t="shared" si="15"/>
        <v>-937.10936885693025</v>
      </c>
    </row>
    <row r="274" spans="1:5" s="19" customFormat="1" x14ac:dyDescent="0.2">
      <c r="A274" s="22">
        <v>257</v>
      </c>
      <c r="B274" s="23">
        <f t="shared" si="13"/>
        <v>56.971877529321617</v>
      </c>
      <c r="C274" s="23">
        <f t="shared" si="14"/>
        <v>60.415575847234507</v>
      </c>
      <c r="D274" s="23">
        <f t="shared" ref="D274:D317" si="16">E273*B$7</f>
        <v>-3.4436983179128919</v>
      </c>
      <c r="E274" s="31">
        <f t="shared" si="15"/>
        <v>-997.5249447041648</v>
      </c>
    </row>
    <row r="275" spans="1:5" s="19" customFormat="1" x14ac:dyDescent="0.2">
      <c r="A275" s="22">
        <v>258</v>
      </c>
      <c r="B275" s="23">
        <f t="shared" ref="B275:B317" si="17">B$9</f>
        <v>56.971877529321617</v>
      </c>
      <c r="C275" s="23">
        <f t="shared" ref="C275:C317" si="18">B275-D275</f>
        <v>60.637591573290734</v>
      </c>
      <c r="D275" s="23">
        <f t="shared" si="16"/>
        <v>-3.6657140439691154</v>
      </c>
      <c r="E275" s="31">
        <f t="shared" ref="E275:E317" si="19">E274-C275</f>
        <v>-1058.1625362774555</v>
      </c>
    </row>
    <row r="276" spans="1:5" s="19" customFormat="1" x14ac:dyDescent="0.2">
      <c r="A276" s="22">
        <v>259</v>
      </c>
      <c r="B276" s="23">
        <f t="shared" si="17"/>
        <v>56.971877529321617</v>
      </c>
      <c r="C276" s="23">
        <f t="shared" si="18"/>
        <v>60.860423164824113</v>
      </c>
      <c r="D276" s="23">
        <f t="shared" si="16"/>
        <v>-3.8885456355024943</v>
      </c>
      <c r="E276" s="31">
        <f t="shared" si="19"/>
        <v>-1119.0229594422797</v>
      </c>
    </row>
    <row r="277" spans="1:5" s="19" customFormat="1" x14ac:dyDescent="0.2">
      <c r="A277" s="22">
        <v>260</v>
      </c>
      <c r="B277" s="23">
        <f t="shared" si="17"/>
        <v>56.971877529321617</v>
      </c>
      <c r="C277" s="23">
        <f t="shared" si="18"/>
        <v>61.084073619984771</v>
      </c>
      <c r="D277" s="23">
        <f t="shared" si="16"/>
        <v>-4.1121960906631552</v>
      </c>
      <c r="E277" s="31">
        <f t="shared" si="19"/>
        <v>-1180.1070330622645</v>
      </c>
    </row>
    <row r="278" spans="1:5" s="19" customFormat="1" x14ac:dyDescent="0.2">
      <c r="A278" s="22">
        <v>261</v>
      </c>
      <c r="B278" s="23">
        <f t="shared" si="17"/>
        <v>56.971877529321617</v>
      </c>
      <c r="C278" s="23">
        <f t="shared" si="18"/>
        <v>61.308545947940466</v>
      </c>
      <c r="D278" s="23">
        <f t="shared" si="16"/>
        <v>-4.336668418618852</v>
      </c>
      <c r="E278" s="31">
        <f t="shared" si="19"/>
        <v>-1241.415579010205</v>
      </c>
    </row>
    <row r="279" spans="1:5" s="19" customFormat="1" x14ac:dyDescent="0.2">
      <c r="A279" s="22">
        <v>262</v>
      </c>
      <c r="B279" s="23">
        <f t="shared" si="17"/>
        <v>56.971877529321617</v>
      </c>
      <c r="C279" s="23">
        <f t="shared" si="18"/>
        <v>61.533843168917073</v>
      </c>
      <c r="D279" s="23">
        <f t="shared" si="16"/>
        <v>-4.5619656395954582</v>
      </c>
      <c r="E279" s="31">
        <f t="shared" si="19"/>
        <v>-1302.9494221791219</v>
      </c>
    </row>
    <row r="280" spans="1:5" s="19" customFormat="1" x14ac:dyDescent="0.2">
      <c r="A280" s="22">
        <v>263</v>
      </c>
      <c r="B280" s="23">
        <f t="shared" si="17"/>
        <v>56.971877529321617</v>
      </c>
      <c r="C280" s="23">
        <f t="shared" si="18"/>
        <v>61.759968314239217</v>
      </c>
      <c r="D280" s="23">
        <f t="shared" si="16"/>
        <v>-4.7880907849176015</v>
      </c>
      <c r="E280" s="31">
        <f t="shared" si="19"/>
        <v>-1364.7093904933611</v>
      </c>
    </row>
    <row r="281" spans="1:5" s="19" customFormat="1" x14ac:dyDescent="0.2">
      <c r="A281" s="22">
        <v>264</v>
      </c>
      <c r="B281" s="23">
        <f t="shared" si="17"/>
        <v>56.971877529321617</v>
      </c>
      <c r="C281" s="23">
        <f t="shared" si="18"/>
        <v>61.986924426371068</v>
      </c>
      <c r="D281" s="23">
        <f t="shared" si="16"/>
        <v>-5.0150468970494488</v>
      </c>
      <c r="E281" s="31">
        <f t="shared" si="19"/>
        <v>-1426.6963149197322</v>
      </c>
    </row>
    <row r="282" spans="1:5" s="19" customFormat="1" x14ac:dyDescent="0.2">
      <c r="A282" s="22">
        <v>265</v>
      </c>
      <c r="B282" s="23">
        <f t="shared" si="17"/>
        <v>56.971877529321617</v>
      </c>
      <c r="C282" s="23">
        <f t="shared" si="18"/>
        <v>62.214714558957262</v>
      </c>
      <c r="D282" s="23">
        <f t="shared" si="16"/>
        <v>-5.2428370296356466</v>
      </c>
      <c r="E282" s="31">
        <f t="shared" si="19"/>
        <v>-1488.9110294786894</v>
      </c>
    </row>
    <row r="283" spans="1:5" s="19" customFormat="1" x14ac:dyDescent="0.2">
      <c r="A283" s="22">
        <v>266</v>
      </c>
      <c r="B283" s="23">
        <f t="shared" si="17"/>
        <v>56.971877529321617</v>
      </c>
      <c r="C283" s="23">
        <f t="shared" si="18"/>
        <v>62.443341776864017</v>
      </c>
      <c r="D283" s="23">
        <f t="shared" si="16"/>
        <v>-5.4714642475423982</v>
      </c>
      <c r="E283" s="31">
        <f t="shared" si="19"/>
        <v>-1551.3543712555534</v>
      </c>
    </row>
    <row r="284" spans="1:5" s="19" customFormat="1" x14ac:dyDescent="0.2">
      <c r="A284" s="22">
        <v>267</v>
      </c>
      <c r="B284" s="23">
        <f t="shared" si="17"/>
        <v>56.971877529321617</v>
      </c>
      <c r="C284" s="23">
        <f t="shared" si="18"/>
        <v>62.672809156220325</v>
      </c>
      <c r="D284" s="23">
        <f t="shared" si="16"/>
        <v>-5.7009316268987087</v>
      </c>
      <c r="E284" s="31">
        <f t="shared" si="19"/>
        <v>-1614.0271804117738</v>
      </c>
    </row>
    <row r="285" spans="1:5" s="19" customFormat="1" x14ac:dyDescent="0.2">
      <c r="A285" s="22">
        <v>268</v>
      </c>
      <c r="B285" s="23">
        <f t="shared" si="17"/>
        <v>56.971877529321617</v>
      </c>
      <c r="C285" s="23">
        <f t="shared" si="18"/>
        <v>62.903119784459392</v>
      </c>
      <c r="D285" s="23">
        <f t="shared" si="16"/>
        <v>-5.9312422551377724</v>
      </c>
      <c r="E285" s="31">
        <f t="shared" si="19"/>
        <v>-1676.9303001962332</v>
      </c>
    </row>
    <row r="286" spans="1:5" s="19" customFormat="1" x14ac:dyDescent="0.2">
      <c r="A286" s="22">
        <v>269</v>
      </c>
      <c r="B286" s="23">
        <f t="shared" si="17"/>
        <v>56.971877529321617</v>
      </c>
      <c r="C286" s="23">
        <f t="shared" si="18"/>
        <v>63.134276760360123</v>
      </c>
      <c r="D286" s="23">
        <f t="shared" si="16"/>
        <v>-6.162399231038509</v>
      </c>
      <c r="E286" s="31">
        <f t="shared" si="19"/>
        <v>-1740.0645769565933</v>
      </c>
    </row>
    <row r="287" spans="1:5" s="19" customFormat="1" x14ac:dyDescent="0.2">
      <c r="A287" s="22">
        <v>270</v>
      </c>
      <c r="B287" s="23">
        <f t="shared" si="17"/>
        <v>56.971877529321617</v>
      </c>
      <c r="C287" s="23">
        <f t="shared" si="18"/>
        <v>63.366283194088879</v>
      </c>
      <c r="D287" s="23">
        <f t="shared" si="16"/>
        <v>-6.3944056647672625</v>
      </c>
      <c r="E287" s="31">
        <f t="shared" si="19"/>
        <v>-1803.4308601506823</v>
      </c>
    </row>
    <row r="288" spans="1:5" s="19" customFormat="1" x14ac:dyDescent="0.2">
      <c r="A288" s="22">
        <v>271</v>
      </c>
      <c r="B288" s="23">
        <f t="shared" si="17"/>
        <v>56.971877529321617</v>
      </c>
      <c r="C288" s="23">
        <f t="shared" si="18"/>
        <v>63.599142207241258</v>
      </c>
      <c r="D288" s="23">
        <f t="shared" si="16"/>
        <v>-6.6272646779196442</v>
      </c>
      <c r="E288" s="31">
        <f t="shared" si="19"/>
        <v>-1867.0300023579236</v>
      </c>
    </row>
    <row r="289" spans="1:5" s="19" customFormat="1" x14ac:dyDescent="0.2">
      <c r="A289" s="22">
        <v>272</v>
      </c>
      <c r="B289" s="23">
        <f t="shared" si="17"/>
        <v>56.971877529321617</v>
      </c>
      <c r="C289" s="23">
        <f t="shared" si="18"/>
        <v>63.832856932884155</v>
      </c>
      <c r="D289" s="23">
        <f t="shared" si="16"/>
        <v>-6.8609794035625349</v>
      </c>
      <c r="E289" s="31">
        <f t="shared" si="19"/>
        <v>-1930.8628592908078</v>
      </c>
    </row>
    <row r="290" spans="1:5" s="19" customFormat="1" x14ac:dyDescent="0.2">
      <c r="A290" s="22">
        <v>273</v>
      </c>
      <c r="B290" s="23">
        <f t="shared" si="17"/>
        <v>56.971877529321617</v>
      </c>
      <c r="C290" s="23">
        <f t="shared" si="18"/>
        <v>64.067430515597849</v>
      </c>
      <c r="D290" s="23">
        <f t="shared" si="16"/>
        <v>-7.0955529862762381</v>
      </c>
      <c r="E290" s="31">
        <f t="shared" si="19"/>
        <v>-1994.9302898064057</v>
      </c>
    </row>
    <row r="291" spans="1:5" s="19" customFormat="1" x14ac:dyDescent="0.2">
      <c r="A291" s="22">
        <v>274</v>
      </c>
      <c r="B291" s="23">
        <f t="shared" si="17"/>
        <v>56.971877529321617</v>
      </c>
      <c r="C291" s="23">
        <f t="shared" si="18"/>
        <v>64.302866111518412</v>
      </c>
      <c r="D291" s="23">
        <f t="shared" si="16"/>
        <v>-7.3309885821967917</v>
      </c>
      <c r="E291" s="31">
        <f t="shared" si="19"/>
        <v>-2059.2331559179243</v>
      </c>
    </row>
    <row r="292" spans="1:5" s="19" customFormat="1" x14ac:dyDescent="0.2">
      <c r="A292" s="22">
        <v>275</v>
      </c>
      <c r="B292" s="23">
        <f t="shared" si="17"/>
        <v>56.971877529321617</v>
      </c>
      <c r="C292" s="23">
        <f t="shared" si="18"/>
        <v>64.539166888380052</v>
      </c>
      <c r="D292" s="23">
        <f t="shared" si="16"/>
        <v>-7.5672893590584325</v>
      </c>
      <c r="E292" s="31">
        <f t="shared" si="19"/>
        <v>-2123.7723228063041</v>
      </c>
    </row>
    <row r="293" spans="1:5" s="19" customFormat="1" x14ac:dyDescent="0.2">
      <c r="A293" s="22">
        <v>276</v>
      </c>
      <c r="B293" s="23">
        <f t="shared" si="17"/>
        <v>56.971877529321617</v>
      </c>
      <c r="C293" s="23">
        <f t="shared" si="18"/>
        <v>64.776336025557825</v>
      </c>
      <c r="D293" s="23">
        <f t="shared" si="16"/>
        <v>-7.8044584962362142</v>
      </c>
      <c r="E293" s="31">
        <f t="shared" si="19"/>
        <v>-2188.5486588318618</v>
      </c>
    </row>
    <row r="294" spans="1:5" s="19" customFormat="1" x14ac:dyDescent="0.2">
      <c r="A294" s="22">
        <v>277</v>
      </c>
      <c r="B294" s="23">
        <f t="shared" si="17"/>
        <v>56.971877529321617</v>
      </c>
      <c r="C294" s="23">
        <f t="shared" si="18"/>
        <v>65.014376714110412</v>
      </c>
      <c r="D294" s="23">
        <f t="shared" si="16"/>
        <v>-8.0424991847887899</v>
      </c>
      <c r="E294" s="31">
        <f t="shared" si="19"/>
        <v>-2253.5630355459721</v>
      </c>
    </row>
    <row r="295" spans="1:5" s="19" customFormat="1" x14ac:dyDescent="0.2">
      <c r="A295" s="22">
        <v>278</v>
      </c>
      <c r="B295" s="23">
        <f t="shared" si="17"/>
        <v>56.971877529321617</v>
      </c>
      <c r="C295" s="23">
        <f t="shared" si="18"/>
        <v>65.253292156822965</v>
      </c>
      <c r="D295" s="23">
        <f t="shared" si="16"/>
        <v>-8.2814146275013449</v>
      </c>
      <c r="E295" s="31">
        <f t="shared" si="19"/>
        <v>-2318.8163277027952</v>
      </c>
    </row>
    <row r="296" spans="1:5" s="19" customFormat="1" x14ac:dyDescent="0.2">
      <c r="A296" s="22">
        <v>279</v>
      </c>
      <c r="B296" s="23">
        <f t="shared" si="17"/>
        <v>56.971877529321617</v>
      </c>
      <c r="C296" s="23">
        <f t="shared" si="18"/>
        <v>65.493085568250308</v>
      </c>
      <c r="D296" s="23">
        <f t="shared" si="16"/>
        <v>-8.5212080389286911</v>
      </c>
      <c r="E296" s="31">
        <f t="shared" si="19"/>
        <v>-2384.3094132710457</v>
      </c>
    </row>
    <row r="297" spans="1:5" s="19" customFormat="1" x14ac:dyDescent="0.2">
      <c r="A297" s="22">
        <v>280</v>
      </c>
      <c r="B297" s="23">
        <f t="shared" si="17"/>
        <v>56.971877529321617</v>
      </c>
      <c r="C297" s="23">
        <f t="shared" si="18"/>
        <v>65.733760174760135</v>
      </c>
      <c r="D297" s="23">
        <f t="shared" si="16"/>
        <v>-8.7618826454385133</v>
      </c>
      <c r="E297" s="31">
        <f t="shared" si="19"/>
        <v>-2450.0431734458057</v>
      </c>
    </row>
    <row r="298" spans="1:5" s="19" customFormat="1" x14ac:dyDescent="0.2">
      <c r="A298" s="22">
        <v>281</v>
      </c>
      <c r="B298" s="23">
        <f t="shared" si="17"/>
        <v>56.971877529321617</v>
      </c>
      <c r="C298" s="23">
        <f t="shared" si="18"/>
        <v>65.975319214576402</v>
      </c>
      <c r="D298" s="23">
        <f t="shared" si="16"/>
        <v>-9.0034416852547814</v>
      </c>
      <c r="E298" s="31">
        <f t="shared" si="19"/>
        <v>-2516.018492660382</v>
      </c>
    </row>
    <row r="299" spans="1:5" s="19" customFormat="1" x14ac:dyDescent="0.2">
      <c r="A299" s="22">
        <v>282</v>
      </c>
      <c r="B299" s="23">
        <f t="shared" si="17"/>
        <v>56.971877529321617</v>
      </c>
      <c r="C299" s="23">
        <f t="shared" si="18"/>
        <v>66.217765937822946</v>
      </c>
      <c r="D299" s="23">
        <f t="shared" si="16"/>
        <v>-9.2458884085013295</v>
      </c>
      <c r="E299" s="31">
        <f t="shared" si="19"/>
        <v>-2582.236258598205</v>
      </c>
    </row>
    <row r="300" spans="1:5" s="19" customFormat="1" x14ac:dyDescent="0.2">
      <c r="A300" s="22">
        <v>283</v>
      </c>
      <c r="B300" s="23">
        <f t="shared" si="17"/>
        <v>56.971877529321617</v>
      </c>
      <c r="C300" s="23">
        <f t="shared" si="18"/>
        <v>66.461103606567178</v>
      </c>
      <c r="D300" s="23">
        <f t="shared" si="16"/>
        <v>-9.4892260772455685</v>
      </c>
      <c r="E300" s="31">
        <f t="shared" si="19"/>
        <v>-2648.6973622047722</v>
      </c>
    </row>
    <row r="301" spans="1:5" s="19" customFormat="1" x14ac:dyDescent="0.2">
      <c r="A301" s="22">
        <v>284</v>
      </c>
      <c r="B301" s="23">
        <f t="shared" si="17"/>
        <v>56.971877529321617</v>
      </c>
      <c r="C301" s="23">
        <f t="shared" si="18"/>
        <v>66.705335494864002</v>
      </c>
      <c r="D301" s="23">
        <f t="shared" si="16"/>
        <v>-9.7334579655423887</v>
      </c>
      <c r="E301" s="31">
        <f t="shared" si="19"/>
        <v>-2715.4026976996361</v>
      </c>
    </row>
    <row r="302" spans="1:5" s="19" customFormat="1" x14ac:dyDescent="0.2">
      <c r="A302" s="22">
        <v>285</v>
      </c>
      <c r="B302" s="23">
        <f t="shared" si="17"/>
        <v>56.971877529321617</v>
      </c>
      <c r="C302" s="23">
        <f t="shared" si="18"/>
        <v>66.950464888799829</v>
      </c>
      <c r="D302" s="23">
        <f t="shared" si="16"/>
        <v>-9.9785873594782082</v>
      </c>
      <c r="E302" s="31">
        <f t="shared" si="19"/>
        <v>-2782.3531625884357</v>
      </c>
    </row>
    <row r="303" spans="1:5" s="19" customFormat="1" x14ac:dyDescent="0.2">
      <c r="A303" s="22">
        <v>286</v>
      </c>
      <c r="B303" s="23">
        <f t="shared" si="17"/>
        <v>56.971877529321617</v>
      </c>
      <c r="C303" s="23">
        <f t="shared" si="18"/>
        <v>67.1964950865368</v>
      </c>
      <c r="D303" s="23">
        <f t="shared" si="16"/>
        <v>-10.224617557215186</v>
      </c>
      <c r="E303" s="31">
        <f t="shared" si="19"/>
        <v>-2849.5496576749724</v>
      </c>
    </row>
    <row r="304" spans="1:5" s="19" customFormat="1" x14ac:dyDescent="0.2">
      <c r="A304" s="22">
        <v>287</v>
      </c>
      <c r="B304" s="23">
        <f t="shared" si="17"/>
        <v>56.971877529321617</v>
      </c>
      <c r="C304" s="23">
        <f t="shared" si="18"/>
        <v>67.44342939835721</v>
      </c>
      <c r="D304" s="23">
        <f t="shared" si="16"/>
        <v>-10.471551869035601</v>
      </c>
      <c r="E304" s="31">
        <f t="shared" si="19"/>
        <v>-2916.9930870733297</v>
      </c>
    </row>
    <row r="305" spans="1:5" s="19" customFormat="1" x14ac:dyDescent="0.2">
      <c r="A305" s="22">
        <v>288</v>
      </c>
      <c r="B305" s="23">
        <f t="shared" si="17"/>
        <v>56.971877529321617</v>
      </c>
      <c r="C305" s="23">
        <f t="shared" si="18"/>
        <v>67.691271146708004</v>
      </c>
      <c r="D305" s="23">
        <f t="shared" si="16"/>
        <v>-10.719393617386382</v>
      </c>
      <c r="E305" s="31">
        <f t="shared" si="19"/>
        <v>-2984.6843582200377</v>
      </c>
    </row>
    <row r="306" spans="1:5" s="19" customFormat="1" x14ac:dyDescent="0.2">
      <c r="A306" s="22">
        <v>289</v>
      </c>
      <c r="B306" s="23">
        <f t="shared" si="17"/>
        <v>56.971877529321617</v>
      </c>
      <c r="C306" s="23">
        <f t="shared" si="18"/>
        <v>67.940023666245438</v>
      </c>
      <c r="D306" s="23">
        <f t="shared" si="16"/>
        <v>-10.968146136923826</v>
      </c>
      <c r="E306" s="31">
        <f t="shared" si="19"/>
        <v>-3052.6243818862831</v>
      </c>
    </row>
    <row r="307" spans="1:5" s="19" customFormat="1" x14ac:dyDescent="0.2">
      <c r="A307" s="22">
        <v>290</v>
      </c>
      <c r="B307" s="23">
        <f t="shared" si="17"/>
        <v>56.971877529321617</v>
      </c>
      <c r="C307" s="23">
        <f t="shared" si="18"/>
        <v>68.18969030388007</v>
      </c>
      <c r="D307" s="23">
        <f t="shared" si="16"/>
        <v>-11.217812774558446</v>
      </c>
      <c r="E307" s="31">
        <f t="shared" si="19"/>
        <v>-3120.8140721901632</v>
      </c>
    </row>
    <row r="308" spans="1:5" s="19" customFormat="1" x14ac:dyDescent="0.2">
      <c r="A308" s="22">
        <v>291</v>
      </c>
      <c r="B308" s="23">
        <f t="shared" si="17"/>
        <v>56.971877529321617</v>
      </c>
      <c r="C308" s="23">
        <f t="shared" si="18"/>
        <v>68.440274418821645</v>
      </c>
      <c r="D308" s="23">
        <f t="shared" si="16"/>
        <v>-11.468396889500022</v>
      </c>
      <c r="E308" s="31">
        <f t="shared" si="19"/>
        <v>-3189.2543466089846</v>
      </c>
    </row>
    <row r="309" spans="1:5" s="19" customFormat="1" x14ac:dyDescent="0.2">
      <c r="A309" s="22">
        <v>292</v>
      </c>
      <c r="B309" s="23">
        <f t="shared" si="17"/>
        <v>56.971877529321617</v>
      </c>
      <c r="C309" s="23">
        <f t="shared" si="18"/>
        <v>68.691779382624404</v>
      </c>
      <c r="D309" s="23">
        <f t="shared" si="16"/>
        <v>-11.719901853302785</v>
      </c>
      <c r="E309" s="31">
        <f t="shared" si="19"/>
        <v>-3257.9461259916088</v>
      </c>
    </row>
    <row r="310" spans="1:5" s="19" customFormat="1" x14ac:dyDescent="0.2">
      <c r="A310" s="22">
        <v>293</v>
      </c>
      <c r="B310" s="23">
        <f t="shared" si="17"/>
        <v>56.971877529321617</v>
      </c>
      <c r="C310" s="23">
        <f t="shared" si="18"/>
        <v>68.944208579232409</v>
      </c>
      <c r="D310" s="23">
        <f t="shared" si="16"/>
        <v>-11.972331049910787</v>
      </c>
      <c r="E310" s="31">
        <f t="shared" si="19"/>
        <v>-3326.8903345708413</v>
      </c>
    </row>
    <row r="311" spans="1:5" s="19" customFormat="1" x14ac:dyDescent="0.2">
      <c r="A311" s="22">
        <v>294</v>
      </c>
      <c r="B311" s="23">
        <f t="shared" si="17"/>
        <v>56.971877529321617</v>
      </c>
      <c r="C311" s="23">
        <f t="shared" si="18"/>
        <v>69.197565405025045</v>
      </c>
      <c r="D311" s="23">
        <f t="shared" si="16"/>
        <v>-12.22568787570343</v>
      </c>
      <c r="E311" s="31">
        <f t="shared" si="19"/>
        <v>-3396.0878999758665</v>
      </c>
    </row>
    <row r="312" spans="1:5" s="19" customFormat="1" x14ac:dyDescent="0.2">
      <c r="A312" s="22">
        <v>295</v>
      </c>
      <c r="B312" s="23">
        <f t="shared" si="17"/>
        <v>56.971877529321617</v>
      </c>
      <c r="C312" s="23">
        <f t="shared" si="18"/>
        <v>69.451853268862777</v>
      </c>
      <c r="D312" s="23">
        <f t="shared" si="16"/>
        <v>-12.47997573954116</v>
      </c>
      <c r="E312" s="31">
        <f t="shared" si="19"/>
        <v>-3465.5397532447291</v>
      </c>
    </row>
    <row r="313" spans="1:5" s="19" customFormat="1" x14ac:dyDescent="0.2">
      <c r="A313" s="22">
        <v>296</v>
      </c>
      <c r="B313" s="23">
        <f t="shared" si="17"/>
        <v>56.971877529321617</v>
      </c>
      <c r="C313" s="23">
        <f t="shared" si="18"/>
        <v>69.707075592132952</v>
      </c>
      <c r="D313" s="23">
        <f t="shared" si="16"/>
        <v>-12.735198062811337</v>
      </c>
      <c r="E313" s="31">
        <f t="shared" si="19"/>
        <v>-3535.2468288368623</v>
      </c>
    </row>
    <row r="314" spans="1:5" s="19" customFormat="1" x14ac:dyDescent="0.2">
      <c r="A314" s="22">
        <v>297</v>
      </c>
      <c r="B314" s="23">
        <f t="shared" si="17"/>
        <v>56.971877529321617</v>
      </c>
      <c r="C314" s="23">
        <f t="shared" si="18"/>
        <v>69.963235808795886</v>
      </c>
      <c r="D314" s="23">
        <f t="shared" si="16"/>
        <v>-12.991358279474269</v>
      </c>
      <c r="E314" s="31">
        <f t="shared" si="19"/>
        <v>-3605.2100646456583</v>
      </c>
    </row>
    <row r="315" spans="1:5" s="19" customFormat="1" x14ac:dyDescent="0.2">
      <c r="A315" s="22">
        <v>298</v>
      </c>
      <c r="B315" s="23">
        <f t="shared" si="17"/>
        <v>56.971877529321617</v>
      </c>
      <c r="C315" s="23">
        <f t="shared" si="18"/>
        <v>70.220337365431035</v>
      </c>
      <c r="D315" s="23">
        <f t="shared" si="16"/>
        <v>-13.248459836109415</v>
      </c>
      <c r="E315" s="31">
        <f t="shared" si="19"/>
        <v>-3675.4304020110894</v>
      </c>
    </row>
    <row r="316" spans="1:5" s="19" customFormat="1" x14ac:dyDescent="0.2">
      <c r="A316" s="22">
        <v>299</v>
      </c>
      <c r="B316" s="23">
        <f t="shared" si="17"/>
        <v>56.971877529321617</v>
      </c>
      <c r="C316" s="23">
        <f t="shared" si="18"/>
        <v>70.478383721283365</v>
      </c>
      <c r="D316" s="23">
        <f t="shared" si="16"/>
        <v>-13.506506191961748</v>
      </c>
      <c r="E316" s="31">
        <f t="shared" si="19"/>
        <v>-3745.908785732373</v>
      </c>
    </row>
    <row r="317" spans="1:5" s="19" customFormat="1" x14ac:dyDescent="0.2">
      <c r="A317" s="22">
        <v>300</v>
      </c>
      <c r="B317" s="23">
        <f t="shared" si="17"/>
        <v>56.971877529321617</v>
      </c>
      <c r="C317" s="23">
        <f t="shared" si="18"/>
        <v>70.737378348309932</v>
      </c>
      <c r="D317" s="23">
        <f t="shared" si="16"/>
        <v>-13.765500818988317</v>
      </c>
      <c r="E317" s="31">
        <f t="shared" si="19"/>
        <v>-3816.6461640806829</v>
      </c>
    </row>
    <row r="318" spans="1:5" s="19" customFormat="1" x14ac:dyDescent="0.2">
      <c r="B318" s="20"/>
      <c r="C318" s="20"/>
      <c r="D318" s="20"/>
      <c r="E318" s="20"/>
    </row>
  </sheetData>
  <conditionalFormatting sqref="A17:A317">
    <cfRule type="expression" dxfId="9" priority="1">
      <formula>E17&lt;-0.01</formula>
    </cfRule>
  </conditionalFormatting>
  <conditionalFormatting sqref="B17:B317">
    <cfRule type="expression" dxfId="8" priority="2">
      <formula>E17&lt;-0.01</formula>
    </cfRule>
  </conditionalFormatting>
  <conditionalFormatting sqref="C17:C317">
    <cfRule type="expression" dxfId="7" priority="3">
      <formula>E17&lt;-0.01</formula>
    </cfRule>
  </conditionalFormatting>
  <conditionalFormatting sqref="D17:D317">
    <cfRule type="expression" dxfId="6" priority="4">
      <formula>E17&lt;-0.01</formula>
    </cfRule>
  </conditionalFormatting>
  <conditionalFormatting sqref="E17:E317">
    <cfRule type="expression" dxfId="5" priority="5">
      <formula>E17&lt;-0.01</formula>
    </cfRule>
  </conditionalFormatting>
  <hyperlinks>
    <hyperlink ref="H4" r:id="rId1" xr:uid="{3A2CCB79-49B2-42F6-8D27-E554AC2F173D}"/>
    <hyperlink ref="H5" r:id="rId2" xr:uid="{1B8DBD97-7B5B-4A92-BE9F-D7B7184A7A83}"/>
    <hyperlink ref="H7" r:id="rId3" xr:uid="{E48CAC19-B4FF-4B89-A5D5-3B0FA5007B19}"/>
    <hyperlink ref="H6" r:id="rId4" xr:uid="{CCE8B49C-8FEE-473C-BF4D-E34039F95067}"/>
    <hyperlink ref="H8" r:id="rId5" xr:uid="{210F68CB-39B1-4749-919F-B37122999F3F}"/>
    <hyperlink ref="H9" r:id="rId6" display="BNP Paribas Forts" xr:uid="{AC809478-FABD-4089-AA5B-B6B98DA48AF0}"/>
    <hyperlink ref="H12" r:id="rId7" xr:uid="{3BF19562-E952-44FB-B885-3A81BB1C2280}"/>
  </hyperlinks>
  <pageMargins left="0.7" right="0.7" top="0.75" bottom="0.75" header="0.3" footer="0.3"/>
  <pageSetup paperSize="9" scale="40" orientation="portrait"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5E229-D243-4920-9DC9-3E68BF3ACF82}">
  <sheetPr>
    <tabColor theme="6" tint="0.39997558519241921"/>
  </sheetPr>
  <dimension ref="A1:L318"/>
  <sheetViews>
    <sheetView workbookViewId="0"/>
  </sheetViews>
  <sheetFormatPr defaultColWidth="8.85546875" defaultRowHeight="12.75" x14ac:dyDescent="0.2"/>
  <cols>
    <col min="1" max="5" width="29.7109375" style="15" customWidth="1"/>
    <col min="6" max="6" width="4.85546875" style="15" customWidth="1"/>
    <col min="7" max="7" width="28.5703125" style="15" customWidth="1"/>
    <col min="8" max="8" width="23.28515625" style="15" customWidth="1"/>
    <col min="9" max="11" width="8.85546875" style="15"/>
    <col min="12" max="12" width="10.28515625" style="15" bestFit="1" customWidth="1"/>
    <col min="13" max="255" width="8.85546875" style="15"/>
    <col min="256" max="260" width="18.140625" style="15" customWidth="1"/>
    <col min="261" max="263" width="8.85546875" style="15"/>
    <col min="264" max="264" width="13.85546875" style="15" customWidth="1"/>
    <col min="265" max="511" width="8.85546875" style="15"/>
    <col min="512" max="516" width="18.140625" style="15" customWidth="1"/>
    <col min="517" max="519" width="8.85546875" style="15"/>
    <col min="520" max="520" width="13.85546875" style="15" customWidth="1"/>
    <col min="521" max="767" width="8.85546875" style="15"/>
    <col min="768" max="772" width="18.140625" style="15" customWidth="1"/>
    <col min="773" max="775" width="8.85546875" style="15"/>
    <col min="776" max="776" width="13.85546875" style="15" customWidth="1"/>
    <col min="777" max="1023" width="8.85546875" style="15"/>
    <col min="1024" max="1028" width="18.140625" style="15" customWidth="1"/>
    <col min="1029" max="1031" width="8.85546875" style="15"/>
    <col min="1032" max="1032" width="13.85546875" style="15" customWidth="1"/>
    <col min="1033" max="1279" width="8.85546875" style="15"/>
    <col min="1280" max="1284" width="18.140625" style="15" customWidth="1"/>
    <col min="1285" max="1287" width="8.85546875" style="15"/>
    <col min="1288" max="1288" width="13.85546875" style="15" customWidth="1"/>
    <col min="1289" max="1535" width="8.85546875" style="15"/>
    <col min="1536" max="1540" width="18.140625" style="15" customWidth="1"/>
    <col min="1541" max="1543" width="8.85546875" style="15"/>
    <col min="1544" max="1544" width="13.85546875" style="15" customWidth="1"/>
    <col min="1545" max="1791" width="8.85546875" style="15"/>
    <col min="1792" max="1796" width="18.140625" style="15" customWidth="1"/>
    <col min="1797" max="1799" width="8.85546875" style="15"/>
    <col min="1800" max="1800" width="13.85546875" style="15" customWidth="1"/>
    <col min="1801" max="2047" width="8.85546875" style="15"/>
    <col min="2048" max="2052" width="18.140625" style="15" customWidth="1"/>
    <col min="2053" max="2055" width="8.85546875" style="15"/>
    <col min="2056" max="2056" width="13.85546875" style="15" customWidth="1"/>
    <col min="2057" max="2303" width="8.85546875" style="15"/>
    <col min="2304" max="2308" width="18.140625" style="15" customWidth="1"/>
    <col min="2309" max="2311" width="8.85546875" style="15"/>
    <col min="2312" max="2312" width="13.85546875" style="15" customWidth="1"/>
    <col min="2313" max="2559" width="8.85546875" style="15"/>
    <col min="2560" max="2564" width="18.140625" style="15" customWidth="1"/>
    <col min="2565" max="2567" width="8.85546875" style="15"/>
    <col min="2568" max="2568" width="13.85546875" style="15" customWidth="1"/>
    <col min="2569" max="2815" width="8.85546875" style="15"/>
    <col min="2816" max="2820" width="18.140625" style="15" customWidth="1"/>
    <col min="2821" max="2823" width="8.85546875" style="15"/>
    <col min="2824" max="2824" width="13.85546875" style="15" customWidth="1"/>
    <col min="2825" max="3071" width="8.85546875" style="15"/>
    <col min="3072" max="3076" width="18.140625" style="15" customWidth="1"/>
    <col min="3077" max="3079" width="8.85546875" style="15"/>
    <col min="3080" max="3080" width="13.85546875" style="15" customWidth="1"/>
    <col min="3081" max="3327" width="8.85546875" style="15"/>
    <col min="3328" max="3332" width="18.140625" style="15" customWidth="1"/>
    <col min="3333" max="3335" width="8.85546875" style="15"/>
    <col min="3336" max="3336" width="13.85546875" style="15" customWidth="1"/>
    <col min="3337" max="3583" width="8.85546875" style="15"/>
    <col min="3584" max="3588" width="18.140625" style="15" customWidth="1"/>
    <col min="3589" max="3591" width="8.85546875" style="15"/>
    <col min="3592" max="3592" width="13.85546875" style="15" customWidth="1"/>
    <col min="3593" max="3839" width="8.85546875" style="15"/>
    <col min="3840" max="3844" width="18.140625" style="15" customWidth="1"/>
    <col min="3845" max="3847" width="8.85546875" style="15"/>
    <col min="3848" max="3848" width="13.85546875" style="15" customWidth="1"/>
    <col min="3849" max="4095" width="8.85546875" style="15"/>
    <col min="4096" max="4100" width="18.140625" style="15" customWidth="1"/>
    <col min="4101" max="4103" width="8.85546875" style="15"/>
    <col min="4104" max="4104" width="13.85546875" style="15" customWidth="1"/>
    <col min="4105" max="4351" width="8.85546875" style="15"/>
    <col min="4352" max="4356" width="18.140625" style="15" customWidth="1"/>
    <col min="4357" max="4359" width="8.85546875" style="15"/>
    <col min="4360" max="4360" width="13.85546875" style="15" customWidth="1"/>
    <col min="4361" max="4607" width="8.85546875" style="15"/>
    <col min="4608" max="4612" width="18.140625" style="15" customWidth="1"/>
    <col min="4613" max="4615" width="8.85546875" style="15"/>
    <col min="4616" max="4616" width="13.85546875" style="15" customWidth="1"/>
    <col min="4617" max="4863" width="8.85546875" style="15"/>
    <col min="4864" max="4868" width="18.140625" style="15" customWidth="1"/>
    <col min="4869" max="4871" width="8.85546875" style="15"/>
    <col min="4872" max="4872" width="13.85546875" style="15" customWidth="1"/>
    <col min="4873" max="5119" width="8.85546875" style="15"/>
    <col min="5120" max="5124" width="18.140625" style="15" customWidth="1"/>
    <col min="5125" max="5127" width="8.85546875" style="15"/>
    <col min="5128" max="5128" width="13.85546875" style="15" customWidth="1"/>
    <col min="5129" max="5375" width="8.85546875" style="15"/>
    <col min="5376" max="5380" width="18.140625" style="15" customWidth="1"/>
    <col min="5381" max="5383" width="8.85546875" style="15"/>
    <col min="5384" max="5384" width="13.85546875" style="15" customWidth="1"/>
    <col min="5385" max="5631" width="8.85546875" style="15"/>
    <col min="5632" max="5636" width="18.140625" style="15" customWidth="1"/>
    <col min="5637" max="5639" width="8.85546875" style="15"/>
    <col min="5640" max="5640" width="13.85546875" style="15" customWidth="1"/>
    <col min="5641" max="5887" width="8.85546875" style="15"/>
    <col min="5888" max="5892" width="18.140625" style="15" customWidth="1"/>
    <col min="5893" max="5895" width="8.85546875" style="15"/>
    <col min="5896" max="5896" width="13.85546875" style="15" customWidth="1"/>
    <col min="5897" max="6143" width="8.85546875" style="15"/>
    <col min="6144" max="6148" width="18.140625" style="15" customWidth="1"/>
    <col min="6149" max="6151" width="8.85546875" style="15"/>
    <col min="6152" max="6152" width="13.85546875" style="15" customWidth="1"/>
    <col min="6153" max="6399" width="8.85546875" style="15"/>
    <col min="6400" max="6404" width="18.140625" style="15" customWidth="1"/>
    <col min="6405" max="6407" width="8.85546875" style="15"/>
    <col min="6408" max="6408" width="13.85546875" style="15" customWidth="1"/>
    <col min="6409" max="6655" width="8.85546875" style="15"/>
    <col min="6656" max="6660" width="18.140625" style="15" customWidth="1"/>
    <col min="6661" max="6663" width="8.85546875" style="15"/>
    <col min="6664" max="6664" width="13.85546875" style="15" customWidth="1"/>
    <col min="6665" max="6911" width="8.85546875" style="15"/>
    <col min="6912" max="6916" width="18.140625" style="15" customWidth="1"/>
    <col min="6917" max="6919" width="8.85546875" style="15"/>
    <col min="6920" max="6920" width="13.85546875" style="15" customWidth="1"/>
    <col min="6921" max="7167" width="8.85546875" style="15"/>
    <col min="7168" max="7172" width="18.140625" style="15" customWidth="1"/>
    <col min="7173" max="7175" width="8.85546875" style="15"/>
    <col min="7176" max="7176" width="13.85546875" style="15" customWidth="1"/>
    <col min="7177" max="7423" width="8.85546875" style="15"/>
    <col min="7424" max="7428" width="18.140625" style="15" customWidth="1"/>
    <col min="7429" max="7431" width="8.85546875" style="15"/>
    <col min="7432" max="7432" width="13.85546875" style="15" customWidth="1"/>
    <col min="7433" max="7679" width="8.85546875" style="15"/>
    <col min="7680" max="7684" width="18.140625" style="15" customWidth="1"/>
    <col min="7685" max="7687" width="8.85546875" style="15"/>
    <col min="7688" max="7688" width="13.85546875" style="15" customWidth="1"/>
    <col min="7689" max="7935" width="8.85546875" style="15"/>
    <col min="7936" max="7940" width="18.140625" style="15" customWidth="1"/>
    <col min="7941" max="7943" width="8.85546875" style="15"/>
    <col min="7944" max="7944" width="13.85546875" style="15" customWidth="1"/>
    <col min="7945" max="8191" width="8.85546875" style="15"/>
    <col min="8192" max="8196" width="18.140625" style="15" customWidth="1"/>
    <col min="8197" max="8199" width="8.85546875" style="15"/>
    <col min="8200" max="8200" width="13.85546875" style="15" customWidth="1"/>
    <col min="8201" max="8447" width="8.85546875" style="15"/>
    <col min="8448" max="8452" width="18.140625" style="15" customWidth="1"/>
    <col min="8453" max="8455" width="8.85546875" style="15"/>
    <col min="8456" max="8456" width="13.85546875" style="15" customWidth="1"/>
    <col min="8457" max="8703" width="8.85546875" style="15"/>
    <col min="8704" max="8708" width="18.140625" style="15" customWidth="1"/>
    <col min="8709" max="8711" width="8.85546875" style="15"/>
    <col min="8712" max="8712" width="13.85546875" style="15" customWidth="1"/>
    <col min="8713" max="8959" width="8.85546875" style="15"/>
    <col min="8960" max="8964" width="18.140625" style="15" customWidth="1"/>
    <col min="8965" max="8967" width="8.85546875" style="15"/>
    <col min="8968" max="8968" width="13.85546875" style="15" customWidth="1"/>
    <col min="8969" max="9215" width="8.85546875" style="15"/>
    <col min="9216" max="9220" width="18.140625" style="15" customWidth="1"/>
    <col min="9221" max="9223" width="8.85546875" style="15"/>
    <col min="9224" max="9224" width="13.85546875" style="15" customWidth="1"/>
    <col min="9225" max="9471" width="8.85546875" style="15"/>
    <col min="9472" max="9476" width="18.140625" style="15" customWidth="1"/>
    <col min="9477" max="9479" width="8.85546875" style="15"/>
    <col min="9480" max="9480" width="13.85546875" style="15" customWidth="1"/>
    <col min="9481" max="9727" width="8.85546875" style="15"/>
    <col min="9728" max="9732" width="18.140625" style="15" customWidth="1"/>
    <col min="9733" max="9735" width="8.85546875" style="15"/>
    <col min="9736" max="9736" width="13.85546875" style="15" customWidth="1"/>
    <col min="9737" max="9983" width="8.85546875" style="15"/>
    <col min="9984" max="9988" width="18.140625" style="15" customWidth="1"/>
    <col min="9989" max="9991" width="8.85546875" style="15"/>
    <col min="9992" max="9992" width="13.85546875" style="15" customWidth="1"/>
    <col min="9993" max="10239" width="8.85546875" style="15"/>
    <col min="10240" max="10244" width="18.140625" style="15" customWidth="1"/>
    <col min="10245" max="10247" width="8.85546875" style="15"/>
    <col min="10248" max="10248" width="13.85546875" style="15" customWidth="1"/>
    <col min="10249" max="10495" width="8.85546875" style="15"/>
    <col min="10496" max="10500" width="18.140625" style="15" customWidth="1"/>
    <col min="10501" max="10503" width="8.85546875" style="15"/>
    <col min="10504" max="10504" width="13.85546875" style="15" customWidth="1"/>
    <col min="10505" max="10751" width="8.85546875" style="15"/>
    <col min="10752" max="10756" width="18.140625" style="15" customWidth="1"/>
    <col min="10757" max="10759" width="8.85546875" style="15"/>
    <col min="10760" max="10760" width="13.85546875" style="15" customWidth="1"/>
    <col min="10761" max="11007" width="8.85546875" style="15"/>
    <col min="11008" max="11012" width="18.140625" style="15" customWidth="1"/>
    <col min="11013" max="11015" width="8.85546875" style="15"/>
    <col min="11016" max="11016" width="13.85546875" style="15" customWidth="1"/>
    <col min="11017" max="11263" width="8.85546875" style="15"/>
    <col min="11264" max="11268" width="18.140625" style="15" customWidth="1"/>
    <col min="11269" max="11271" width="8.85546875" style="15"/>
    <col min="11272" max="11272" width="13.85546875" style="15" customWidth="1"/>
    <col min="11273" max="11519" width="8.85546875" style="15"/>
    <col min="11520" max="11524" width="18.140625" style="15" customWidth="1"/>
    <col min="11525" max="11527" width="8.85546875" style="15"/>
    <col min="11528" max="11528" width="13.85546875" style="15" customWidth="1"/>
    <col min="11529" max="11775" width="8.85546875" style="15"/>
    <col min="11776" max="11780" width="18.140625" style="15" customWidth="1"/>
    <col min="11781" max="11783" width="8.85546875" style="15"/>
    <col min="11784" max="11784" width="13.85546875" style="15" customWidth="1"/>
    <col min="11785" max="12031" width="8.85546875" style="15"/>
    <col min="12032" max="12036" width="18.140625" style="15" customWidth="1"/>
    <col min="12037" max="12039" width="8.85546875" style="15"/>
    <col min="12040" max="12040" width="13.85546875" style="15" customWidth="1"/>
    <col min="12041" max="12287" width="8.85546875" style="15"/>
    <col min="12288" max="12292" width="18.140625" style="15" customWidth="1"/>
    <col min="12293" max="12295" width="8.85546875" style="15"/>
    <col min="12296" max="12296" width="13.85546875" style="15" customWidth="1"/>
    <col min="12297" max="12543" width="8.85546875" style="15"/>
    <col min="12544" max="12548" width="18.140625" style="15" customWidth="1"/>
    <col min="12549" max="12551" width="8.85546875" style="15"/>
    <col min="12552" max="12552" width="13.85546875" style="15" customWidth="1"/>
    <col min="12553" max="12799" width="8.85546875" style="15"/>
    <col min="12800" max="12804" width="18.140625" style="15" customWidth="1"/>
    <col min="12805" max="12807" width="8.85546875" style="15"/>
    <col min="12808" max="12808" width="13.85546875" style="15" customWidth="1"/>
    <col min="12809" max="13055" width="8.85546875" style="15"/>
    <col min="13056" max="13060" width="18.140625" style="15" customWidth="1"/>
    <col min="13061" max="13063" width="8.85546875" style="15"/>
    <col min="13064" max="13064" width="13.85546875" style="15" customWidth="1"/>
    <col min="13065" max="13311" width="8.85546875" style="15"/>
    <col min="13312" max="13316" width="18.140625" style="15" customWidth="1"/>
    <col min="13317" max="13319" width="8.85546875" style="15"/>
    <col min="13320" max="13320" width="13.85546875" style="15" customWidth="1"/>
    <col min="13321" max="13567" width="8.85546875" style="15"/>
    <col min="13568" max="13572" width="18.140625" style="15" customWidth="1"/>
    <col min="13573" max="13575" width="8.85546875" style="15"/>
    <col min="13576" max="13576" width="13.85546875" style="15" customWidth="1"/>
    <col min="13577" max="13823" width="8.85546875" style="15"/>
    <col min="13824" max="13828" width="18.140625" style="15" customWidth="1"/>
    <col min="13829" max="13831" width="8.85546875" style="15"/>
    <col min="13832" max="13832" width="13.85546875" style="15" customWidth="1"/>
    <col min="13833" max="14079" width="8.85546875" style="15"/>
    <col min="14080" max="14084" width="18.140625" style="15" customWidth="1"/>
    <col min="14085" max="14087" width="8.85546875" style="15"/>
    <col min="14088" max="14088" width="13.85546875" style="15" customWidth="1"/>
    <col min="14089" max="14335" width="8.85546875" style="15"/>
    <col min="14336" max="14340" width="18.140625" style="15" customWidth="1"/>
    <col min="14341" max="14343" width="8.85546875" style="15"/>
    <col min="14344" max="14344" width="13.85546875" style="15" customWidth="1"/>
    <col min="14345" max="14591" width="8.85546875" style="15"/>
    <col min="14592" max="14596" width="18.140625" style="15" customWidth="1"/>
    <col min="14597" max="14599" width="8.85546875" style="15"/>
    <col min="14600" max="14600" width="13.85546875" style="15" customWidth="1"/>
    <col min="14601" max="14847" width="8.85546875" style="15"/>
    <col min="14848" max="14852" width="18.140625" style="15" customWidth="1"/>
    <col min="14853" max="14855" width="8.85546875" style="15"/>
    <col min="14856" max="14856" width="13.85546875" style="15" customWidth="1"/>
    <col min="14857" max="15103" width="8.85546875" style="15"/>
    <col min="15104" max="15108" width="18.140625" style="15" customWidth="1"/>
    <col min="15109" max="15111" width="8.85546875" style="15"/>
    <col min="15112" max="15112" width="13.85546875" style="15" customWidth="1"/>
    <col min="15113" max="15359" width="8.85546875" style="15"/>
    <col min="15360" max="15364" width="18.140625" style="15" customWidth="1"/>
    <col min="15365" max="15367" width="8.85546875" style="15"/>
    <col min="15368" max="15368" width="13.85546875" style="15" customWidth="1"/>
    <col min="15369" max="15615" width="8.85546875" style="15"/>
    <col min="15616" max="15620" width="18.140625" style="15" customWidth="1"/>
    <col min="15621" max="15623" width="8.85546875" style="15"/>
    <col min="15624" max="15624" width="13.85546875" style="15" customWidth="1"/>
    <col min="15625" max="15871" width="8.85546875" style="15"/>
    <col min="15872" max="15876" width="18.140625" style="15" customWidth="1"/>
    <col min="15877" max="15879" width="8.85546875" style="15"/>
    <col min="15880" max="15880" width="13.85546875" style="15" customWidth="1"/>
    <col min="15881" max="16127" width="8.85546875" style="15"/>
    <col min="16128" max="16132" width="18.140625" style="15" customWidth="1"/>
    <col min="16133" max="16135" width="8.85546875" style="15"/>
    <col min="16136" max="16136" width="13.85546875" style="15" customWidth="1"/>
    <col min="16137" max="16384" width="8.85546875" style="15"/>
  </cols>
  <sheetData>
    <row r="1" spans="1:12" s="14" customFormat="1" ht="20.25" x14ac:dyDescent="0.3">
      <c r="A1" s="13" t="s">
        <v>162</v>
      </c>
    </row>
    <row r="2" spans="1:12" ht="13.5" customHeight="1" x14ac:dyDescent="0.2">
      <c r="A2" s="15" t="s">
        <v>184</v>
      </c>
    </row>
    <row r="3" spans="1:12" ht="13.5" customHeight="1" x14ac:dyDescent="0.2">
      <c r="A3" s="16"/>
    </row>
    <row r="4" spans="1:12" x14ac:dyDescent="0.2">
      <c r="A4" s="60" t="s">
        <v>109</v>
      </c>
      <c r="B4" s="76">
        <f>Berekening!E45</f>
        <v>36105</v>
      </c>
      <c r="D4" s="60" t="s">
        <v>163</v>
      </c>
      <c r="E4" s="75"/>
      <c r="G4" s="173" t="s">
        <v>185</v>
      </c>
      <c r="H4" s="17" t="s">
        <v>186</v>
      </c>
    </row>
    <row r="5" spans="1:12" x14ac:dyDescent="0.2">
      <c r="A5" s="60" t="s">
        <v>164</v>
      </c>
      <c r="B5" s="59">
        <f>B6*12</f>
        <v>240</v>
      </c>
      <c r="D5" s="133" t="s">
        <v>165</v>
      </c>
      <c r="E5" s="74">
        <f>MAX(B4*1.5%,E14)+(E13*Quotiteiten!C4)</f>
        <v>606</v>
      </c>
      <c r="G5" s="174" t="s">
        <v>187</v>
      </c>
      <c r="H5" s="17" t="s">
        <v>188</v>
      </c>
    </row>
    <row r="6" spans="1:12" x14ac:dyDescent="0.2">
      <c r="A6" s="60" t="s">
        <v>166</v>
      </c>
      <c r="B6" s="162">
        <v>20</v>
      </c>
      <c r="D6" s="133" t="s">
        <v>167</v>
      </c>
      <c r="E6" s="135">
        <f>E5/Quotiteiten!D4</f>
        <v>0.63124999999999998</v>
      </c>
      <c r="H6" s="17" t="s">
        <v>189</v>
      </c>
    </row>
    <row r="7" spans="1:12" x14ac:dyDescent="0.2">
      <c r="A7" s="60" t="s">
        <v>168</v>
      </c>
      <c r="B7" s="77">
        <f>((1+B8)^(1/12))-1</f>
        <v>3.6748094004368514E-3</v>
      </c>
      <c r="H7" s="17" t="s">
        <v>190</v>
      </c>
    </row>
    <row r="8" spans="1:12" x14ac:dyDescent="0.2">
      <c r="A8" s="60" t="s">
        <v>169</v>
      </c>
      <c r="B8" s="164">
        <v>4.4999999999999998E-2</v>
      </c>
      <c r="D8" s="133" t="s">
        <v>170</v>
      </c>
      <c r="E8" s="165">
        <f>MAX(B4*3.5%,E14)+(E13*Quotiteiten!C4)</f>
        <v>1323.6750000000002</v>
      </c>
      <c r="H8" s="17" t="s">
        <v>191</v>
      </c>
    </row>
    <row r="9" spans="1:12" x14ac:dyDescent="0.2">
      <c r="A9" s="60" t="s">
        <v>171</v>
      </c>
      <c r="B9" s="76">
        <f>(B4*((1+B8)^(1/12)-1)*((1+B8)^(1/12))^B5)/(((1+B8)^(1/12))^B5-1)</f>
        <v>226.66332101335061</v>
      </c>
      <c r="D9" s="133" t="s">
        <v>172</v>
      </c>
      <c r="E9" s="136">
        <f>E8/Quotiteiten!D4</f>
        <v>1.3788281250000003</v>
      </c>
      <c r="H9" s="17" t="s">
        <v>192</v>
      </c>
    </row>
    <row r="10" spans="1:12" x14ac:dyDescent="0.2">
      <c r="A10" s="60" t="s">
        <v>173</v>
      </c>
      <c r="B10" s="76">
        <f>(B9*B5)-B4</f>
        <v>18294.197043204149</v>
      </c>
    </row>
    <row r="11" spans="1:12" x14ac:dyDescent="0.2">
      <c r="A11" s="118"/>
      <c r="B11" s="117"/>
      <c r="D11" s="133" t="s">
        <v>174</v>
      </c>
      <c r="E11" s="165">
        <f>MAX(B4*2.5%,E14)+(E13*Quotiteiten!C7)</f>
        <v>902.625</v>
      </c>
    </row>
    <row r="12" spans="1:12" x14ac:dyDescent="0.2">
      <c r="A12" s="60" t="s">
        <v>175</v>
      </c>
      <c r="B12" s="76">
        <f>B9*B5</f>
        <v>54399.197043204149</v>
      </c>
      <c r="G12" s="173" t="s">
        <v>193</v>
      </c>
      <c r="H12" s="17" t="s">
        <v>194</v>
      </c>
    </row>
    <row r="13" spans="1:12" x14ac:dyDescent="0.2">
      <c r="A13" s="61" t="s">
        <v>176</v>
      </c>
      <c r="B13" s="74">
        <f>B4</f>
        <v>36105</v>
      </c>
      <c r="D13" s="21" t="s">
        <v>177</v>
      </c>
      <c r="E13" s="160">
        <v>6</v>
      </c>
      <c r="G13" s="173"/>
    </row>
    <row r="14" spans="1:12" x14ac:dyDescent="0.2">
      <c r="A14" s="61" t="s">
        <v>178</v>
      </c>
      <c r="B14" s="74">
        <f>B12-B13</f>
        <v>18294.197043204149</v>
      </c>
      <c r="D14" s="21" t="s">
        <v>179</v>
      </c>
      <c r="E14" s="160">
        <v>546</v>
      </c>
    </row>
    <row r="15" spans="1:12" x14ac:dyDescent="0.2">
      <c r="A15" s="21"/>
      <c r="B15" s="33"/>
      <c r="C15" s="34"/>
    </row>
    <row r="16" spans="1:12" ht="30" customHeight="1" x14ac:dyDescent="0.2">
      <c r="A16" s="18" t="s">
        <v>180</v>
      </c>
      <c r="B16" s="18" t="s">
        <v>181</v>
      </c>
      <c r="C16" s="18" t="s">
        <v>182</v>
      </c>
      <c r="D16" s="18" t="s">
        <v>178</v>
      </c>
      <c r="E16" s="18" t="s">
        <v>183</v>
      </c>
      <c r="L16" s="37"/>
    </row>
    <row r="17" spans="1:5" x14ac:dyDescent="0.2">
      <c r="A17" s="22">
        <v>0</v>
      </c>
      <c r="B17" s="23"/>
      <c r="C17" s="23"/>
      <c r="D17" s="23"/>
      <c r="E17" s="32">
        <f>B4</f>
        <v>36105</v>
      </c>
    </row>
    <row r="18" spans="1:5" s="19" customFormat="1" x14ac:dyDescent="0.2">
      <c r="A18" s="22">
        <v>1</v>
      </c>
      <c r="B18" s="23">
        <f>B$9</f>
        <v>226.66332101335061</v>
      </c>
      <c r="C18" s="23">
        <f>B18-D18</f>
        <v>93.984327610578077</v>
      </c>
      <c r="D18" s="23">
        <f t="shared" ref="D18:D81" si="0">E17*B$7</f>
        <v>132.67899340277253</v>
      </c>
      <c r="E18" s="31">
        <f>E17-C18</f>
        <v>36011.015672389425</v>
      </c>
    </row>
    <row r="19" spans="1:5" s="19" customFormat="1" x14ac:dyDescent="0.2">
      <c r="A19" s="22">
        <v>2</v>
      </c>
      <c r="B19" s="23">
        <f t="shared" ref="B19:B82" si="1">B$9</f>
        <v>226.66332101335061</v>
      </c>
      <c r="C19" s="23">
        <f t="shared" ref="C19:C82" si="2">B19-D19</f>
        <v>94.329702101175172</v>
      </c>
      <c r="D19" s="23">
        <f t="shared" si="0"/>
        <v>132.33361891217544</v>
      </c>
      <c r="E19" s="31">
        <f t="shared" ref="E19:E82" si="3">E18-C19</f>
        <v>35916.68597028825</v>
      </c>
    </row>
    <row r="20" spans="1:5" s="19" customFormat="1" x14ac:dyDescent="0.2">
      <c r="A20" s="22">
        <v>3</v>
      </c>
      <c r="B20" s="23">
        <f t="shared" si="1"/>
        <v>226.66332101335061</v>
      </c>
      <c r="C20" s="23">
        <f t="shared" si="2"/>
        <v>94.676345777196985</v>
      </c>
      <c r="D20" s="23">
        <f t="shared" si="0"/>
        <v>131.98697523615363</v>
      </c>
      <c r="E20" s="31">
        <f t="shared" si="3"/>
        <v>35822.009624511054</v>
      </c>
    </row>
    <row r="21" spans="1:5" s="19" customFormat="1" x14ac:dyDescent="0.2">
      <c r="A21" s="22">
        <v>4</v>
      </c>
      <c r="B21" s="23">
        <f t="shared" si="1"/>
        <v>226.66332101335061</v>
      </c>
      <c r="C21" s="23">
        <f t="shared" si="2"/>
        <v>95.024263302658028</v>
      </c>
      <c r="D21" s="23">
        <f t="shared" si="0"/>
        <v>131.63905771069258</v>
      </c>
      <c r="E21" s="31">
        <f t="shared" si="3"/>
        <v>35726.985361208397</v>
      </c>
    </row>
    <row r="22" spans="1:5" s="19" customFormat="1" x14ac:dyDescent="0.2">
      <c r="A22" s="22">
        <v>5</v>
      </c>
      <c r="B22" s="23">
        <f t="shared" si="1"/>
        <v>226.66332101335061</v>
      </c>
      <c r="C22" s="23">
        <f t="shared" si="2"/>
        <v>95.373459358712211</v>
      </c>
      <c r="D22" s="23">
        <f t="shared" si="0"/>
        <v>131.2898616546384</v>
      </c>
      <c r="E22" s="31">
        <f t="shared" si="3"/>
        <v>35631.611901849683</v>
      </c>
    </row>
    <row r="23" spans="1:5" s="19" customFormat="1" x14ac:dyDescent="0.2">
      <c r="A23" s="22">
        <v>6</v>
      </c>
      <c r="B23" s="23">
        <f t="shared" si="1"/>
        <v>226.66332101335061</v>
      </c>
      <c r="C23" s="23">
        <f t="shared" si="2"/>
        <v>95.723938643715798</v>
      </c>
      <c r="D23" s="23">
        <f t="shared" si="0"/>
        <v>130.93938236963481</v>
      </c>
      <c r="E23" s="31">
        <f t="shared" si="3"/>
        <v>35535.887963205969</v>
      </c>
    </row>
    <row r="24" spans="1:5" s="19" customFormat="1" x14ac:dyDescent="0.2">
      <c r="A24" s="22">
        <v>7</v>
      </c>
      <c r="B24" s="23">
        <f t="shared" si="1"/>
        <v>226.66332101335061</v>
      </c>
      <c r="C24" s="23">
        <f t="shared" si="2"/>
        <v>96.075705873290559</v>
      </c>
      <c r="D24" s="23">
        <f t="shared" si="0"/>
        <v>130.58761514006005</v>
      </c>
      <c r="E24" s="31">
        <f t="shared" si="3"/>
        <v>35439.812257332676</v>
      </c>
    </row>
    <row r="25" spans="1:5" s="19" customFormat="1" x14ac:dyDescent="0.2">
      <c r="A25" s="22">
        <v>8</v>
      </c>
      <c r="B25" s="23">
        <f t="shared" si="1"/>
        <v>226.66332101335061</v>
      </c>
      <c r="C25" s="23">
        <f t="shared" si="2"/>
        <v>96.428765780387351</v>
      </c>
      <c r="D25" s="23">
        <f t="shared" si="0"/>
        <v>130.23455523296326</v>
      </c>
      <c r="E25" s="31">
        <f t="shared" si="3"/>
        <v>35343.383491552289</v>
      </c>
    </row>
    <row r="26" spans="1:5" s="19" customFormat="1" x14ac:dyDescent="0.2">
      <c r="A26" s="22">
        <v>9</v>
      </c>
      <c r="B26" s="23">
        <f t="shared" si="1"/>
        <v>226.66332101335061</v>
      </c>
      <c r="C26" s="23">
        <f t="shared" si="2"/>
        <v>96.783123115349639</v>
      </c>
      <c r="D26" s="23">
        <f t="shared" si="0"/>
        <v>129.88019789800097</v>
      </c>
      <c r="E26" s="31">
        <f t="shared" si="3"/>
        <v>35246.600368436943</v>
      </c>
    </row>
    <row r="27" spans="1:5" s="19" customFormat="1" x14ac:dyDescent="0.2">
      <c r="A27" s="22">
        <v>10</v>
      </c>
      <c r="B27" s="23">
        <f t="shared" si="1"/>
        <v>226.66332101335061</v>
      </c>
      <c r="C27" s="23">
        <f t="shared" si="2"/>
        <v>97.138782645977557</v>
      </c>
      <c r="D27" s="23">
        <f t="shared" si="0"/>
        <v>129.52453836737305</v>
      </c>
      <c r="E27" s="31">
        <f t="shared" si="3"/>
        <v>35149.461585790967</v>
      </c>
    </row>
    <row r="28" spans="1:5" s="19" customFormat="1" x14ac:dyDescent="0.2">
      <c r="A28" s="22">
        <v>11</v>
      </c>
      <c r="B28" s="23">
        <f t="shared" si="1"/>
        <v>226.66332101335061</v>
      </c>
      <c r="C28" s="23">
        <f t="shared" si="2"/>
        <v>97.495749157591973</v>
      </c>
      <c r="D28" s="23">
        <f t="shared" si="0"/>
        <v>129.16757185575864</v>
      </c>
      <c r="E28" s="31">
        <f t="shared" si="3"/>
        <v>35051.965836633375</v>
      </c>
    </row>
    <row r="29" spans="1:5" s="19" customFormat="1" x14ac:dyDescent="0.2">
      <c r="A29" s="22">
        <v>12</v>
      </c>
      <c r="B29" s="23">
        <f t="shared" si="1"/>
        <v>226.66332101335061</v>
      </c>
      <c r="C29" s="23">
        <f t="shared" si="2"/>
        <v>97.854027453098922</v>
      </c>
      <c r="D29" s="23">
        <f t="shared" si="0"/>
        <v>128.80929356025169</v>
      </c>
      <c r="E29" s="31">
        <f t="shared" si="3"/>
        <v>34954.111809180278</v>
      </c>
    </row>
    <row r="30" spans="1:5" s="19" customFormat="1" x14ac:dyDescent="0.2">
      <c r="A30" s="22">
        <v>13</v>
      </c>
      <c r="B30" s="23">
        <f t="shared" si="1"/>
        <v>226.66332101335061</v>
      </c>
      <c r="C30" s="23">
        <f t="shared" si="2"/>
        <v>98.213622353054177</v>
      </c>
      <c r="D30" s="23">
        <f t="shared" si="0"/>
        <v>128.44969866029643</v>
      </c>
      <c r="E30" s="31">
        <f t="shared" si="3"/>
        <v>34855.898186827224</v>
      </c>
    </row>
    <row r="31" spans="1:5" s="19" customFormat="1" x14ac:dyDescent="0.2">
      <c r="A31" s="22">
        <v>14</v>
      </c>
      <c r="B31" s="23">
        <f t="shared" si="1"/>
        <v>226.66332101335061</v>
      </c>
      <c r="C31" s="23">
        <f t="shared" si="2"/>
        <v>98.574538695728137</v>
      </c>
      <c r="D31" s="23">
        <f t="shared" si="0"/>
        <v>128.08878231762247</v>
      </c>
      <c r="E31" s="31">
        <f t="shared" si="3"/>
        <v>34757.323648131496</v>
      </c>
    </row>
    <row r="32" spans="1:5" s="19" customFormat="1" x14ac:dyDescent="0.2">
      <c r="A32" s="22">
        <v>15</v>
      </c>
      <c r="B32" s="23">
        <f t="shared" si="1"/>
        <v>226.66332101335061</v>
      </c>
      <c r="C32" s="23">
        <f t="shared" si="2"/>
        <v>98.936781337170913</v>
      </c>
      <c r="D32" s="23">
        <f t="shared" si="0"/>
        <v>127.7265396761797</v>
      </c>
      <c r="E32" s="31">
        <f t="shared" si="3"/>
        <v>34658.386866794324</v>
      </c>
    </row>
    <row r="33" spans="1:5" s="19" customFormat="1" x14ac:dyDescent="0.2">
      <c r="A33" s="22">
        <v>16</v>
      </c>
      <c r="B33" s="23">
        <f t="shared" si="1"/>
        <v>226.66332101335061</v>
      </c>
      <c r="C33" s="23">
        <f t="shared" si="2"/>
        <v>99.300355151277714</v>
      </c>
      <c r="D33" s="23">
        <f t="shared" si="0"/>
        <v>127.3629658620729</v>
      </c>
      <c r="E33" s="31">
        <f t="shared" si="3"/>
        <v>34559.086511643043</v>
      </c>
    </row>
    <row r="34" spans="1:5" s="19" customFormat="1" x14ac:dyDescent="0.2">
      <c r="A34" s="22">
        <v>17</v>
      </c>
      <c r="B34" s="23">
        <f t="shared" si="1"/>
        <v>226.66332101335061</v>
      </c>
      <c r="C34" s="23">
        <f t="shared" si="2"/>
        <v>99.665265029854353</v>
      </c>
      <c r="D34" s="23">
        <f t="shared" si="0"/>
        <v>126.99805598349626</v>
      </c>
      <c r="E34" s="31">
        <f t="shared" si="3"/>
        <v>34459.421246613187</v>
      </c>
    </row>
    <row r="35" spans="1:5" s="19" customFormat="1" x14ac:dyDescent="0.2">
      <c r="A35" s="22">
        <v>18</v>
      </c>
      <c r="B35" s="23">
        <f t="shared" si="1"/>
        <v>226.66332101335061</v>
      </c>
      <c r="C35" s="23">
        <f t="shared" si="2"/>
        <v>100.03151588268311</v>
      </c>
      <c r="D35" s="23">
        <f t="shared" si="0"/>
        <v>126.6318051306675</v>
      </c>
      <c r="E35" s="31">
        <f t="shared" si="3"/>
        <v>34359.389730730501</v>
      </c>
    </row>
    <row r="36" spans="1:5" s="19" customFormat="1" x14ac:dyDescent="0.2">
      <c r="A36" s="22">
        <v>19</v>
      </c>
      <c r="B36" s="23">
        <f t="shared" si="1"/>
        <v>226.66332101335061</v>
      </c>
      <c r="C36" s="23">
        <f t="shared" si="2"/>
        <v>100.39911263758874</v>
      </c>
      <c r="D36" s="23">
        <f t="shared" si="0"/>
        <v>126.26420837576187</v>
      </c>
      <c r="E36" s="31">
        <f t="shared" si="3"/>
        <v>34258.99061809291</v>
      </c>
    </row>
    <row r="37" spans="1:5" s="19" customFormat="1" x14ac:dyDescent="0.2">
      <c r="A37" s="22">
        <v>20</v>
      </c>
      <c r="B37" s="23">
        <f t="shared" si="1"/>
        <v>226.66332101335061</v>
      </c>
      <c r="C37" s="23">
        <f t="shared" si="2"/>
        <v>100.76806024050488</v>
      </c>
      <c r="D37" s="23">
        <f t="shared" si="0"/>
        <v>125.89526077284573</v>
      </c>
      <c r="E37" s="31">
        <f t="shared" si="3"/>
        <v>34158.222557852408</v>
      </c>
    </row>
    <row r="38" spans="1:5" s="19" customFormat="1" x14ac:dyDescent="0.2">
      <c r="A38" s="22">
        <v>21</v>
      </c>
      <c r="B38" s="23">
        <f t="shared" si="1"/>
        <v>226.66332101335061</v>
      </c>
      <c r="C38" s="23">
        <f t="shared" si="2"/>
        <v>101.13836365554047</v>
      </c>
      <c r="D38" s="23">
        <f t="shared" si="0"/>
        <v>125.52495735781014</v>
      </c>
      <c r="E38" s="31">
        <f t="shared" si="3"/>
        <v>34057.084194196868</v>
      </c>
    </row>
    <row r="39" spans="1:5" s="19" customFormat="1" x14ac:dyDescent="0.2">
      <c r="A39" s="22">
        <v>22</v>
      </c>
      <c r="B39" s="23">
        <f t="shared" si="1"/>
        <v>226.66332101335061</v>
      </c>
      <c r="C39" s="23">
        <f t="shared" si="2"/>
        <v>101.51002786504665</v>
      </c>
      <c r="D39" s="23">
        <f t="shared" si="0"/>
        <v>125.15329314830396</v>
      </c>
      <c r="E39" s="31">
        <f t="shared" si="3"/>
        <v>33955.574166331819</v>
      </c>
    </row>
    <row r="40" spans="1:5" s="19" customFormat="1" x14ac:dyDescent="0.2">
      <c r="A40" s="22">
        <v>23</v>
      </c>
      <c r="B40" s="23">
        <f t="shared" si="1"/>
        <v>226.66332101335061</v>
      </c>
      <c r="C40" s="23">
        <f t="shared" si="2"/>
        <v>101.88305786968374</v>
      </c>
      <c r="D40" s="23">
        <f t="shared" si="0"/>
        <v>124.78026314366687</v>
      </c>
      <c r="E40" s="31">
        <f t="shared" si="3"/>
        <v>33853.691108462132</v>
      </c>
    </row>
    <row r="41" spans="1:5" s="19" customFormat="1" x14ac:dyDescent="0.2">
      <c r="A41" s="22">
        <v>24</v>
      </c>
      <c r="B41" s="23">
        <f t="shared" si="1"/>
        <v>226.66332101335061</v>
      </c>
      <c r="C41" s="23">
        <f t="shared" si="2"/>
        <v>102.25745868848851</v>
      </c>
      <c r="D41" s="23">
        <f t="shared" si="0"/>
        <v>124.4058623248621</v>
      </c>
      <c r="E41" s="31">
        <f t="shared" si="3"/>
        <v>33751.433649773644</v>
      </c>
    </row>
    <row r="42" spans="1:5" s="19" customFormat="1" x14ac:dyDescent="0.2">
      <c r="A42" s="22">
        <v>25</v>
      </c>
      <c r="B42" s="23">
        <f t="shared" si="1"/>
        <v>226.66332101335061</v>
      </c>
      <c r="C42" s="23">
        <f t="shared" si="2"/>
        <v>102.63323535894176</v>
      </c>
      <c r="D42" s="23">
        <f t="shared" si="0"/>
        <v>124.03008565440885</v>
      </c>
      <c r="E42" s="31">
        <f t="shared" si="3"/>
        <v>33648.800414414705</v>
      </c>
    </row>
    <row r="43" spans="1:5" s="19" customFormat="1" x14ac:dyDescent="0.2">
      <c r="A43" s="22">
        <v>26</v>
      </c>
      <c r="B43" s="23">
        <f t="shared" si="1"/>
        <v>226.66332101335061</v>
      </c>
      <c r="C43" s="23">
        <f t="shared" si="2"/>
        <v>103.01039293703603</v>
      </c>
      <c r="D43" s="23">
        <f t="shared" si="0"/>
        <v>123.65292807631458</v>
      </c>
      <c r="E43" s="31">
        <f t="shared" si="3"/>
        <v>33545.790021477667</v>
      </c>
    </row>
    <row r="44" spans="1:5" s="19" customFormat="1" x14ac:dyDescent="0.2">
      <c r="A44" s="22">
        <v>27</v>
      </c>
      <c r="B44" s="23">
        <f t="shared" si="1"/>
        <v>226.66332101335061</v>
      </c>
      <c r="C44" s="23">
        <f t="shared" si="2"/>
        <v>103.38893649734375</v>
      </c>
      <c r="D44" s="23">
        <f t="shared" si="0"/>
        <v>123.27438451600686</v>
      </c>
      <c r="E44" s="31">
        <f t="shared" si="3"/>
        <v>33442.401084980324</v>
      </c>
    </row>
    <row r="45" spans="1:5" s="19" customFormat="1" x14ac:dyDescent="0.2">
      <c r="A45" s="22">
        <v>28</v>
      </c>
      <c r="B45" s="23">
        <f t="shared" si="1"/>
        <v>226.66332101335061</v>
      </c>
      <c r="C45" s="23">
        <f t="shared" si="2"/>
        <v>103.76887113308536</v>
      </c>
      <c r="D45" s="23">
        <f t="shared" si="0"/>
        <v>122.89444988026526</v>
      </c>
      <c r="E45" s="31">
        <f t="shared" si="3"/>
        <v>33338.632213847239</v>
      </c>
    </row>
    <row r="46" spans="1:5" s="19" customFormat="1" x14ac:dyDescent="0.2">
      <c r="A46" s="22">
        <v>29</v>
      </c>
      <c r="B46" s="23">
        <f t="shared" si="1"/>
        <v>226.66332101335061</v>
      </c>
      <c r="C46" s="23">
        <f t="shared" si="2"/>
        <v>104.15020195619793</v>
      </c>
      <c r="D46" s="23">
        <f t="shared" si="0"/>
        <v>122.51311905715268</v>
      </c>
      <c r="E46" s="31">
        <f t="shared" si="3"/>
        <v>33234.482011891043</v>
      </c>
    </row>
    <row r="47" spans="1:5" s="19" customFormat="1" x14ac:dyDescent="0.2">
      <c r="A47" s="22">
        <v>30</v>
      </c>
      <c r="B47" s="23">
        <f t="shared" si="1"/>
        <v>226.66332101335061</v>
      </c>
      <c r="C47" s="23">
        <f t="shared" si="2"/>
        <v>104.53293409740397</v>
      </c>
      <c r="D47" s="23">
        <f t="shared" si="0"/>
        <v>122.13038691594664</v>
      </c>
      <c r="E47" s="31">
        <f t="shared" si="3"/>
        <v>33129.949077793637</v>
      </c>
    </row>
    <row r="48" spans="1:5" s="19" customFormat="1" x14ac:dyDescent="0.2">
      <c r="A48" s="22">
        <v>31</v>
      </c>
      <c r="B48" s="23">
        <f t="shared" si="1"/>
        <v>226.66332101335061</v>
      </c>
      <c r="C48" s="23">
        <f t="shared" si="2"/>
        <v>104.91707270628035</v>
      </c>
      <c r="D48" s="23">
        <f t="shared" si="0"/>
        <v>121.74624830707026</v>
      </c>
      <c r="E48" s="31">
        <f t="shared" si="3"/>
        <v>33025.032005087356</v>
      </c>
    </row>
    <row r="49" spans="1:5" s="19" customFormat="1" x14ac:dyDescent="0.2">
      <c r="A49" s="22">
        <v>32</v>
      </c>
      <c r="B49" s="23">
        <f t="shared" si="1"/>
        <v>226.66332101335061</v>
      </c>
      <c r="C49" s="23">
        <f t="shared" si="2"/>
        <v>105.30262295132772</v>
      </c>
      <c r="D49" s="23">
        <f t="shared" si="0"/>
        <v>121.36069806202289</v>
      </c>
      <c r="E49" s="31">
        <f t="shared" si="3"/>
        <v>32919.729382136029</v>
      </c>
    </row>
    <row r="50" spans="1:5" s="19" customFormat="1" x14ac:dyDescent="0.2">
      <c r="A50" s="22">
        <v>33</v>
      </c>
      <c r="B50" s="23">
        <f t="shared" si="1"/>
        <v>226.66332101335061</v>
      </c>
      <c r="C50" s="23">
        <f t="shared" si="2"/>
        <v>105.6895900200399</v>
      </c>
      <c r="D50" s="23">
        <f t="shared" si="0"/>
        <v>120.97373099331071</v>
      </c>
      <c r="E50" s="31">
        <f t="shared" si="3"/>
        <v>32814.039792115989</v>
      </c>
    </row>
    <row r="51" spans="1:5" s="19" customFormat="1" x14ac:dyDescent="0.2">
      <c r="A51" s="22">
        <v>34</v>
      </c>
      <c r="B51" s="23">
        <f t="shared" si="1"/>
        <v>226.66332101335061</v>
      </c>
      <c r="C51" s="23">
        <f t="shared" si="2"/>
        <v>106.07797911897387</v>
      </c>
      <c r="D51" s="23">
        <f t="shared" si="0"/>
        <v>120.58534189437674</v>
      </c>
      <c r="E51" s="31">
        <f t="shared" si="3"/>
        <v>32707.961812997015</v>
      </c>
    </row>
    <row r="52" spans="1:5" s="19" customFormat="1" x14ac:dyDescent="0.2">
      <c r="A52" s="22">
        <v>35</v>
      </c>
      <c r="B52" s="23">
        <f t="shared" si="1"/>
        <v>226.66332101335061</v>
      </c>
      <c r="C52" s="23">
        <f t="shared" si="2"/>
        <v>106.46779547381962</v>
      </c>
      <c r="D52" s="23">
        <f t="shared" si="0"/>
        <v>120.19552553953099</v>
      </c>
      <c r="E52" s="31">
        <f t="shared" si="3"/>
        <v>32601.494017523197</v>
      </c>
    </row>
    <row r="53" spans="1:5" s="19" customFormat="1" x14ac:dyDescent="0.2">
      <c r="A53" s="22">
        <v>36</v>
      </c>
      <c r="B53" s="23">
        <f t="shared" si="1"/>
        <v>226.66332101335061</v>
      </c>
      <c r="C53" s="23">
        <f t="shared" si="2"/>
        <v>106.85904432947059</v>
      </c>
      <c r="D53" s="23">
        <f t="shared" si="0"/>
        <v>119.80427668388002</v>
      </c>
      <c r="E53" s="31">
        <f t="shared" si="3"/>
        <v>32494.634973193726</v>
      </c>
    </row>
    <row r="54" spans="1:5" s="19" customFormat="1" x14ac:dyDescent="0.2">
      <c r="A54" s="22">
        <v>37</v>
      </c>
      <c r="B54" s="23">
        <f t="shared" si="1"/>
        <v>226.66332101335061</v>
      </c>
      <c r="C54" s="23">
        <f t="shared" si="2"/>
        <v>107.25173095009423</v>
      </c>
      <c r="D54" s="23">
        <f t="shared" si="0"/>
        <v>119.41159006325638</v>
      </c>
      <c r="E54" s="31">
        <f t="shared" si="3"/>
        <v>32387.383242243632</v>
      </c>
    </row>
    <row r="55" spans="1:5" s="19" customFormat="1" x14ac:dyDescent="0.2">
      <c r="A55" s="22">
        <v>38</v>
      </c>
      <c r="B55" s="23">
        <f t="shared" si="1"/>
        <v>226.66332101335061</v>
      </c>
      <c r="C55" s="23">
        <f t="shared" si="2"/>
        <v>107.64586061920276</v>
      </c>
      <c r="D55" s="23">
        <f t="shared" si="0"/>
        <v>119.01746039414785</v>
      </c>
      <c r="E55" s="31">
        <f t="shared" si="3"/>
        <v>32279.737381624429</v>
      </c>
    </row>
    <row r="56" spans="1:5" s="19" customFormat="1" x14ac:dyDescent="0.2">
      <c r="A56" s="22">
        <v>39</v>
      </c>
      <c r="B56" s="23">
        <f t="shared" si="1"/>
        <v>226.66332101335061</v>
      </c>
      <c r="C56" s="23">
        <f t="shared" si="2"/>
        <v>108.04143863972432</v>
      </c>
      <c r="D56" s="23">
        <f t="shared" si="0"/>
        <v>118.62188237362629</v>
      </c>
      <c r="E56" s="31">
        <f t="shared" si="3"/>
        <v>32171.695942984705</v>
      </c>
    </row>
    <row r="57" spans="1:5" s="19" customFormat="1" x14ac:dyDescent="0.2">
      <c r="A57" s="22">
        <v>40</v>
      </c>
      <c r="B57" s="23">
        <f t="shared" si="1"/>
        <v>226.66332101335061</v>
      </c>
      <c r="C57" s="23">
        <f t="shared" si="2"/>
        <v>108.4384703340743</v>
      </c>
      <c r="D57" s="23">
        <f t="shared" si="0"/>
        <v>118.22485067927632</v>
      </c>
      <c r="E57" s="31">
        <f t="shared" si="3"/>
        <v>32063.257472650632</v>
      </c>
    </row>
    <row r="58" spans="1:5" s="19" customFormat="1" x14ac:dyDescent="0.2">
      <c r="A58" s="22">
        <v>41</v>
      </c>
      <c r="B58" s="23">
        <f t="shared" si="1"/>
        <v>226.66332101335061</v>
      </c>
      <c r="C58" s="23">
        <f t="shared" si="2"/>
        <v>108.83696104422694</v>
      </c>
      <c r="D58" s="23">
        <f t="shared" si="0"/>
        <v>117.82635996912367</v>
      </c>
      <c r="E58" s="31">
        <f t="shared" si="3"/>
        <v>31954.420511606404</v>
      </c>
    </row>
    <row r="59" spans="1:5" s="19" customFormat="1" x14ac:dyDescent="0.2">
      <c r="A59" s="22">
        <v>42</v>
      </c>
      <c r="B59" s="23">
        <f t="shared" si="1"/>
        <v>226.66332101335061</v>
      </c>
      <c r="C59" s="23">
        <f t="shared" si="2"/>
        <v>109.23691613178725</v>
      </c>
      <c r="D59" s="23">
        <f t="shared" si="0"/>
        <v>117.42640488156336</v>
      </c>
      <c r="E59" s="31">
        <f t="shared" si="3"/>
        <v>31845.183595474617</v>
      </c>
    </row>
    <row r="60" spans="1:5" s="19" customFormat="1" x14ac:dyDescent="0.2">
      <c r="A60" s="22">
        <v>43</v>
      </c>
      <c r="B60" s="23">
        <f t="shared" si="1"/>
        <v>226.66332101335061</v>
      </c>
      <c r="C60" s="23">
        <f t="shared" si="2"/>
        <v>109.63834097806308</v>
      </c>
      <c r="D60" s="23">
        <f t="shared" si="0"/>
        <v>117.02498003528753</v>
      </c>
      <c r="E60" s="31">
        <f t="shared" si="3"/>
        <v>31735.545254496552</v>
      </c>
    </row>
    <row r="61" spans="1:5" s="19" customFormat="1" x14ac:dyDescent="0.2">
      <c r="A61" s="22">
        <v>44</v>
      </c>
      <c r="B61" s="23">
        <f t="shared" si="1"/>
        <v>226.66332101335061</v>
      </c>
      <c r="C61" s="23">
        <f t="shared" si="2"/>
        <v>110.04124098413757</v>
      </c>
      <c r="D61" s="23">
        <f t="shared" si="0"/>
        <v>116.62208002921304</v>
      </c>
      <c r="E61" s="31">
        <f t="shared" si="3"/>
        <v>31625.504013512415</v>
      </c>
    </row>
    <row r="62" spans="1:5" s="19" customFormat="1" x14ac:dyDescent="0.2">
      <c r="A62" s="22">
        <v>45</v>
      </c>
      <c r="B62" s="23">
        <f t="shared" si="1"/>
        <v>226.66332101335061</v>
      </c>
      <c r="C62" s="23">
        <f t="shared" si="2"/>
        <v>110.44562157094181</v>
      </c>
      <c r="D62" s="23">
        <f t="shared" si="0"/>
        <v>116.2176994424088</v>
      </c>
      <c r="E62" s="31">
        <f t="shared" si="3"/>
        <v>31515.058391941471</v>
      </c>
    </row>
    <row r="63" spans="1:5" s="19" customFormat="1" x14ac:dyDescent="0.2">
      <c r="A63" s="22">
        <v>46</v>
      </c>
      <c r="B63" s="23">
        <f t="shared" si="1"/>
        <v>226.66332101335061</v>
      </c>
      <c r="C63" s="23">
        <f t="shared" si="2"/>
        <v>110.85148817932782</v>
      </c>
      <c r="D63" s="23">
        <f t="shared" si="0"/>
        <v>115.81183283402279</v>
      </c>
      <c r="E63" s="31">
        <f t="shared" si="3"/>
        <v>31404.206903762144</v>
      </c>
    </row>
    <row r="64" spans="1:5" s="19" customFormat="1" x14ac:dyDescent="0.2">
      <c r="A64" s="22">
        <v>47</v>
      </c>
      <c r="B64" s="23">
        <f t="shared" si="1"/>
        <v>226.66332101335061</v>
      </c>
      <c r="C64" s="23">
        <f t="shared" si="2"/>
        <v>111.25884627014162</v>
      </c>
      <c r="D64" s="23">
        <f t="shared" si="0"/>
        <v>115.40447474320899</v>
      </c>
      <c r="E64" s="31">
        <f t="shared" si="3"/>
        <v>31292.948057492002</v>
      </c>
    </row>
    <row r="65" spans="1:5" s="19" customFormat="1" x14ac:dyDescent="0.2">
      <c r="A65" s="22">
        <v>48</v>
      </c>
      <c r="B65" s="23">
        <f t="shared" si="1"/>
        <v>226.66332101335061</v>
      </c>
      <c r="C65" s="23">
        <f t="shared" si="2"/>
        <v>111.6677013242969</v>
      </c>
      <c r="D65" s="23">
        <f t="shared" si="0"/>
        <v>114.99561968905371</v>
      </c>
      <c r="E65" s="31">
        <f t="shared" si="3"/>
        <v>31181.280356167706</v>
      </c>
    </row>
    <row r="66" spans="1:5" s="19" customFormat="1" x14ac:dyDescent="0.2">
      <c r="A66" s="22">
        <v>49</v>
      </c>
      <c r="B66" s="23">
        <f t="shared" si="1"/>
        <v>226.66332101335061</v>
      </c>
      <c r="C66" s="23">
        <f t="shared" si="2"/>
        <v>112.07805884284859</v>
      </c>
      <c r="D66" s="23">
        <f t="shared" si="0"/>
        <v>114.58526217050202</v>
      </c>
      <c r="E66" s="31">
        <f t="shared" si="3"/>
        <v>31069.202297324857</v>
      </c>
    </row>
    <row r="67" spans="1:5" s="19" customFormat="1" x14ac:dyDescent="0.2">
      <c r="A67" s="22">
        <v>50</v>
      </c>
      <c r="B67" s="23">
        <f t="shared" si="1"/>
        <v>226.66332101335061</v>
      </c>
      <c r="C67" s="23">
        <f t="shared" si="2"/>
        <v>112.489924347067</v>
      </c>
      <c r="D67" s="23">
        <f t="shared" si="0"/>
        <v>114.17339666628361</v>
      </c>
      <c r="E67" s="31">
        <f t="shared" si="3"/>
        <v>30956.712372977789</v>
      </c>
    </row>
    <row r="68" spans="1:5" s="19" customFormat="1" x14ac:dyDescent="0.2">
      <c r="A68" s="22">
        <v>51</v>
      </c>
      <c r="B68" s="23">
        <f t="shared" si="1"/>
        <v>226.66332101335061</v>
      </c>
      <c r="C68" s="23">
        <f t="shared" si="2"/>
        <v>112.90330337851205</v>
      </c>
      <c r="D68" s="23">
        <f t="shared" si="0"/>
        <v>113.76001763483856</v>
      </c>
      <c r="E68" s="31">
        <f t="shared" si="3"/>
        <v>30843.809069599276</v>
      </c>
    </row>
    <row r="69" spans="1:5" s="19" customFormat="1" x14ac:dyDescent="0.2">
      <c r="A69" s="22">
        <v>52</v>
      </c>
      <c r="B69" s="23">
        <f t="shared" si="1"/>
        <v>226.66332101335061</v>
      </c>
      <c r="C69" s="23">
        <f t="shared" si="2"/>
        <v>113.31820149910777</v>
      </c>
      <c r="D69" s="23">
        <f t="shared" si="0"/>
        <v>113.34511951424284</v>
      </c>
      <c r="E69" s="31">
        <f t="shared" si="3"/>
        <v>30730.490868100169</v>
      </c>
    </row>
    <row r="70" spans="1:5" s="19" customFormat="1" x14ac:dyDescent="0.2">
      <c r="A70" s="22">
        <v>53</v>
      </c>
      <c r="B70" s="23">
        <f t="shared" si="1"/>
        <v>226.66332101335061</v>
      </c>
      <c r="C70" s="23">
        <f t="shared" si="2"/>
        <v>113.73462429121729</v>
      </c>
      <c r="D70" s="23">
        <f t="shared" si="0"/>
        <v>112.92869672213332</v>
      </c>
      <c r="E70" s="31">
        <f t="shared" si="3"/>
        <v>30616.756243808952</v>
      </c>
    </row>
    <row r="71" spans="1:5" s="19" customFormat="1" x14ac:dyDescent="0.2">
      <c r="A71" s="22">
        <v>54</v>
      </c>
      <c r="B71" s="23">
        <f t="shared" si="1"/>
        <v>226.66332101335061</v>
      </c>
      <c r="C71" s="23">
        <f t="shared" si="2"/>
        <v>114.1525773577178</v>
      </c>
      <c r="D71" s="23">
        <f t="shared" si="0"/>
        <v>112.51074365563281</v>
      </c>
      <c r="E71" s="31">
        <f t="shared" si="3"/>
        <v>30502.603666451232</v>
      </c>
    </row>
    <row r="72" spans="1:5" s="19" customFormat="1" x14ac:dyDescent="0.2">
      <c r="A72" s="22">
        <v>55</v>
      </c>
      <c r="B72" s="23">
        <f t="shared" si="1"/>
        <v>226.66332101335061</v>
      </c>
      <c r="C72" s="23">
        <f t="shared" si="2"/>
        <v>114.57206632207605</v>
      </c>
      <c r="D72" s="23">
        <f t="shared" si="0"/>
        <v>112.09125469127456</v>
      </c>
      <c r="E72" s="31">
        <f t="shared" si="3"/>
        <v>30388.031600129158</v>
      </c>
    </row>
    <row r="73" spans="1:5" s="19" customFormat="1" x14ac:dyDescent="0.2">
      <c r="A73" s="22">
        <v>56</v>
      </c>
      <c r="B73" s="23">
        <f t="shared" si="1"/>
        <v>226.66332101335061</v>
      </c>
      <c r="C73" s="23">
        <f t="shared" si="2"/>
        <v>114.99309682842389</v>
      </c>
      <c r="D73" s="23">
        <f t="shared" si="0"/>
        <v>111.67022418492672</v>
      </c>
      <c r="E73" s="31">
        <f t="shared" si="3"/>
        <v>30273.038503300733</v>
      </c>
    </row>
    <row r="74" spans="1:5" s="19" customFormat="1" x14ac:dyDescent="0.2">
      <c r="A74" s="22">
        <v>57</v>
      </c>
      <c r="B74" s="23">
        <f t="shared" si="1"/>
        <v>226.66332101335061</v>
      </c>
      <c r="C74" s="23">
        <f t="shared" si="2"/>
        <v>115.41567454163433</v>
      </c>
      <c r="D74" s="23">
        <f t="shared" si="0"/>
        <v>111.24764647171628</v>
      </c>
      <c r="E74" s="31">
        <f t="shared" si="3"/>
        <v>30157.6228287591</v>
      </c>
    </row>
    <row r="75" spans="1:5" s="19" customFormat="1" x14ac:dyDescent="0.2">
      <c r="A75" s="22">
        <v>58</v>
      </c>
      <c r="B75" s="23">
        <f t="shared" si="1"/>
        <v>226.66332101335061</v>
      </c>
      <c r="C75" s="23">
        <f t="shared" si="2"/>
        <v>115.83980514739768</v>
      </c>
      <c r="D75" s="23">
        <f t="shared" si="0"/>
        <v>110.82351586595293</v>
      </c>
      <c r="E75" s="31">
        <f t="shared" si="3"/>
        <v>30041.783023611704</v>
      </c>
    </row>
    <row r="76" spans="1:5" s="19" customFormat="1" x14ac:dyDescent="0.2">
      <c r="A76" s="22">
        <v>59</v>
      </c>
      <c r="B76" s="23">
        <f t="shared" si="1"/>
        <v>226.66332101335061</v>
      </c>
      <c r="C76" s="23">
        <f t="shared" si="2"/>
        <v>116.26549435229811</v>
      </c>
      <c r="D76" s="23">
        <f t="shared" si="0"/>
        <v>110.39782666105251</v>
      </c>
      <c r="E76" s="31">
        <f t="shared" si="3"/>
        <v>29925.517529259407</v>
      </c>
    </row>
    <row r="77" spans="1:5" s="19" customFormat="1" x14ac:dyDescent="0.2">
      <c r="A77" s="22">
        <v>60</v>
      </c>
      <c r="B77" s="23">
        <f t="shared" si="1"/>
        <v>226.66332101335061</v>
      </c>
      <c r="C77" s="23">
        <f t="shared" si="2"/>
        <v>116.69274788389036</v>
      </c>
      <c r="D77" s="23">
        <f t="shared" si="0"/>
        <v>109.97057312946025</v>
      </c>
      <c r="E77" s="31">
        <f t="shared" si="3"/>
        <v>29808.824781375515</v>
      </c>
    </row>
    <row r="78" spans="1:5" s="19" customFormat="1" x14ac:dyDescent="0.2">
      <c r="A78" s="22">
        <v>61</v>
      </c>
      <c r="B78" s="23">
        <f t="shared" si="1"/>
        <v>226.66332101335061</v>
      </c>
      <c r="C78" s="23">
        <f t="shared" si="2"/>
        <v>117.1215714907769</v>
      </c>
      <c r="D78" s="23">
        <f t="shared" si="0"/>
        <v>109.54174952257371</v>
      </c>
      <c r="E78" s="31">
        <f t="shared" si="3"/>
        <v>29691.703209884738</v>
      </c>
    </row>
    <row r="79" spans="1:5" s="19" customFormat="1" x14ac:dyDescent="0.2">
      <c r="A79" s="22">
        <v>62</v>
      </c>
      <c r="B79" s="23">
        <f t="shared" si="1"/>
        <v>226.66332101335061</v>
      </c>
      <c r="C79" s="23">
        <f t="shared" si="2"/>
        <v>117.55197094268514</v>
      </c>
      <c r="D79" s="23">
        <f t="shared" si="0"/>
        <v>109.11135007066547</v>
      </c>
      <c r="E79" s="31">
        <f t="shared" si="3"/>
        <v>29574.151238942053</v>
      </c>
    </row>
    <row r="80" spans="1:5" s="19" customFormat="1" x14ac:dyDescent="0.2">
      <c r="A80" s="22">
        <v>63</v>
      </c>
      <c r="B80" s="23">
        <f t="shared" si="1"/>
        <v>226.66332101335061</v>
      </c>
      <c r="C80" s="23">
        <f t="shared" si="2"/>
        <v>117.9839520305452</v>
      </c>
      <c r="D80" s="23">
        <f t="shared" si="0"/>
        <v>108.67936898280541</v>
      </c>
      <c r="E80" s="31">
        <f t="shared" si="3"/>
        <v>29456.167286911506</v>
      </c>
    </row>
    <row r="81" spans="1:5" s="19" customFormat="1" x14ac:dyDescent="0.2">
      <c r="A81" s="22">
        <v>64</v>
      </c>
      <c r="B81" s="23">
        <f t="shared" si="1"/>
        <v>226.66332101335061</v>
      </c>
      <c r="C81" s="23">
        <f t="shared" si="2"/>
        <v>118.41752056656775</v>
      </c>
      <c r="D81" s="23">
        <f t="shared" si="0"/>
        <v>108.24580044678287</v>
      </c>
      <c r="E81" s="31">
        <f t="shared" si="3"/>
        <v>29337.749766344939</v>
      </c>
    </row>
    <row r="82" spans="1:5" s="19" customFormat="1" x14ac:dyDescent="0.2">
      <c r="A82" s="22">
        <v>65</v>
      </c>
      <c r="B82" s="23">
        <f t="shared" si="1"/>
        <v>226.66332101335061</v>
      </c>
      <c r="C82" s="23">
        <f t="shared" si="2"/>
        <v>118.85268238432218</v>
      </c>
      <c r="D82" s="23">
        <f t="shared" ref="D82:D145" si="4">E81*B$7</f>
        <v>107.81063862902843</v>
      </c>
      <c r="E82" s="31">
        <f t="shared" si="3"/>
        <v>29218.897083960619</v>
      </c>
    </row>
    <row r="83" spans="1:5" s="19" customFormat="1" x14ac:dyDescent="0.2">
      <c r="A83" s="22">
        <v>66</v>
      </c>
      <c r="B83" s="23">
        <f t="shared" ref="B83:B146" si="5">B$9</f>
        <v>226.66332101335061</v>
      </c>
      <c r="C83" s="23">
        <f t="shared" ref="C83:C146" si="6">B83-D83</f>
        <v>119.28944333881522</v>
      </c>
      <c r="D83" s="23">
        <f t="shared" si="4"/>
        <v>107.37387767453539</v>
      </c>
      <c r="E83" s="31">
        <f t="shared" ref="E83:E146" si="7">E82-C83</f>
        <v>29099.607640621805</v>
      </c>
    </row>
    <row r="84" spans="1:5" s="19" customFormat="1" x14ac:dyDescent="0.2">
      <c r="A84" s="22">
        <v>67</v>
      </c>
      <c r="B84" s="23">
        <f t="shared" si="5"/>
        <v>226.66332101335061</v>
      </c>
      <c r="C84" s="23">
        <f t="shared" si="6"/>
        <v>119.72780930656957</v>
      </c>
      <c r="D84" s="23">
        <f t="shared" si="4"/>
        <v>106.93551170678104</v>
      </c>
      <c r="E84" s="31">
        <f t="shared" si="7"/>
        <v>28979.879831315237</v>
      </c>
    </row>
    <row r="85" spans="1:5" s="19" customFormat="1" x14ac:dyDescent="0.2">
      <c r="A85" s="22">
        <v>68</v>
      </c>
      <c r="B85" s="23">
        <f t="shared" si="5"/>
        <v>226.66332101335061</v>
      </c>
      <c r="C85" s="23">
        <f t="shared" si="6"/>
        <v>120.16778618570306</v>
      </c>
      <c r="D85" s="23">
        <f t="shared" si="4"/>
        <v>106.49553482764755</v>
      </c>
      <c r="E85" s="31">
        <f t="shared" si="7"/>
        <v>28859.712045129534</v>
      </c>
    </row>
    <row r="86" spans="1:5" s="19" customFormat="1" x14ac:dyDescent="0.2">
      <c r="A86" s="22">
        <v>69</v>
      </c>
      <c r="B86" s="23">
        <f t="shared" si="5"/>
        <v>226.66332101335061</v>
      </c>
      <c r="C86" s="23">
        <f t="shared" si="6"/>
        <v>120.60937989600797</v>
      </c>
      <c r="D86" s="23">
        <f t="shared" si="4"/>
        <v>106.05394111734265</v>
      </c>
      <c r="E86" s="31">
        <f t="shared" si="7"/>
        <v>28739.102665233528</v>
      </c>
    </row>
    <row r="87" spans="1:5" s="19" customFormat="1" x14ac:dyDescent="0.2">
      <c r="A87" s="22">
        <v>70</v>
      </c>
      <c r="B87" s="23">
        <f t="shared" si="5"/>
        <v>226.66332101335061</v>
      </c>
      <c r="C87" s="23">
        <f t="shared" si="6"/>
        <v>121.05259637903067</v>
      </c>
      <c r="D87" s="23">
        <f t="shared" si="4"/>
        <v>105.61072463431994</v>
      </c>
      <c r="E87" s="31">
        <f t="shared" si="7"/>
        <v>28618.050068854496</v>
      </c>
    </row>
    <row r="88" spans="1:5" s="19" customFormat="1" x14ac:dyDescent="0.2">
      <c r="A88" s="22">
        <v>71</v>
      </c>
      <c r="B88" s="23">
        <f t="shared" si="5"/>
        <v>226.66332101335061</v>
      </c>
      <c r="C88" s="23">
        <f t="shared" si="6"/>
        <v>121.49744159815162</v>
      </c>
      <c r="D88" s="23">
        <f t="shared" si="4"/>
        <v>105.16587941519899</v>
      </c>
      <c r="E88" s="31">
        <f t="shared" si="7"/>
        <v>28496.552627256344</v>
      </c>
    </row>
    <row r="89" spans="1:5" s="19" customFormat="1" x14ac:dyDescent="0.2">
      <c r="A89" s="22">
        <v>72</v>
      </c>
      <c r="B89" s="23">
        <f t="shared" si="5"/>
        <v>226.66332101335061</v>
      </c>
      <c r="C89" s="23">
        <f t="shared" si="6"/>
        <v>121.94392153866555</v>
      </c>
      <c r="D89" s="23">
        <f t="shared" si="4"/>
        <v>104.71939947468506</v>
      </c>
      <c r="E89" s="31">
        <f t="shared" si="7"/>
        <v>28374.608705717677</v>
      </c>
    </row>
    <row r="90" spans="1:5" s="19" customFormat="1" x14ac:dyDescent="0.2">
      <c r="A90" s="22">
        <v>73</v>
      </c>
      <c r="B90" s="23">
        <f t="shared" si="5"/>
        <v>226.66332101335061</v>
      </c>
      <c r="C90" s="23">
        <f t="shared" si="6"/>
        <v>122.39204220786196</v>
      </c>
      <c r="D90" s="23">
        <f t="shared" si="4"/>
        <v>104.27127880548865</v>
      </c>
      <c r="E90" s="31">
        <f t="shared" si="7"/>
        <v>28252.216663509815</v>
      </c>
    </row>
    <row r="91" spans="1:5" s="19" customFormat="1" x14ac:dyDescent="0.2">
      <c r="A91" s="22">
        <v>74</v>
      </c>
      <c r="B91" s="23">
        <f t="shared" si="5"/>
        <v>226.66332101335061</v>
      </c>
      <c r="C91" s="23">
        <f t="shared" si="6"/>
        <v>122.84180963510609</v>
      </c>
      <c r="D91" s="23">
        <f t="shared" si="4"/>
        <v>103.82151137824452</v>
      </c>
      <c r="E91" s="31">
        <f t="shared" si="7"/>
        <v>28129.37485387471</v>
      </c>
    </row>
    <row r="92" spans="1:5" s="19" customFormat="1" x14ac:dyDescent="0.2">
      <c r="A92" s="22">
        <v>75</v>
      </c>
      <c r="B92" s="23">
        <f t="shared" si="5"/>
        <v>226.66332101335061</v>
      </c>
      <c r="C92" s="23">
        <f t="shared" si="6"/>
        <v>123.29322987191985</v>
      </c>
      <c r="D92" s="23">
        <f t="shared" si="4"/>
        <v>103.37009114143076</v>
      </c>
      <c r="E92" s="31">
        <f t="shared" si="7"/>
        <v>28006.081624002789</v>
      </c>
    </row>
    <row r="93" spans="1:5" s="19" customFormat="1" x14ac:dyDescent="0.2">
      <c r="A93" s="22">
        <v>76</v>
      </c>
      <c r="B93" s="23">
        <f t="shared" si="5"/>
        <v>226.66332101335061</v>
      </c>
      <c r="C93" s="23">
        <f t="shared" si="6"/>
        <v>123.7463089920634</v>
      </c>
      <c r="D93" s="23">
        <f t="shared" si="4"/>
        <v>102.91701202128721</v>
      </c>
      <c r="E93" s="31">
        <f t="shared" si="7"/>
        <v>27882.335315010725</v>
      </c>
    </row>
    <row r="94" spans="1:5" s="19" customFormat="1" x14ac:dyDescent="0.2">
      <c r="A94" s="22">
        <v>77</v>
      </c>
      <c r="B94" s="23">
        <f t="shared" si="5"/>
        <v>226.66332101335061</v>
      </c>
      <c r="C94" s="23">
        <f t="shared" si="6"/>
        <v>124.2010530916168</v>
      </c>
      <c r="D94" s="23">
        <f t="shared" si="4"/>
        <v>102.46226792173381</v>
      </c>
      <c r="E94" s="31">
        <f t="shared" si="7"/>
        <v>27758.134261919109</v>
      </c>
    </row>
    <row r="95" spans="1:5" s="19" customFormat="1" x14ac:dyDescent="0.2">
      <c r="A95" s="22">
        <v>78</v>
      </c>
      <c r="B95" s="23">
        <f t="shared" si="5"/>
        <v>226.66332101335061</v>
      </c>
      <c r="C95" s="23">
        <f t="shared" si="6"/>
        <v>124.65746828906202</v>
      </c>
      <c r="D95" s="23">
        <f t="shared" si="4"/>
        <v>102.00585272428859</v>
      </c>
      <c r="E95" s="31">
        <f t="shared" si="7"/>
        <v>27633.476793630049</v>
      </c>
    </row>
    <row r="96" spans="1:5" s="19" customFormat="1" x14ac:dyDescent="0.2">
      <c r="A96" s="22">
        <v>79</v>
      </c>
      <c r="B96" s="23">
        <f t="shared" si="5"/>
        <v>226.66332101335061</v>
      </c>
      <c r="C96" s="23">
        <f t="shared" si="6"/>
        <v>125.11556072536533</v>
      </c>
      <c r="D96" s="23">
        <f t="shared" si="4"/>
        <v>101.54776028798528</v>
      </c>
      <c r="E96" s="31">
        <f t="shared" si="7"/>
        <v>27508.361232904685</v>
      </c>
    </row>
    <row r="97" spans="1:5" s="19" customFormat="1" x14ac:dyDescent="0.2">
      <c r="A97" s="22">
        <v>80</v>
      </c>
      <c r="B97" s="23">
        <f t="shared" si="5"/>
        <v>226.66332101335061</v>
      </c>
      <c r="C97" s="23">
        <f t="shared" si="6"/>
        <v>125.57533656405982</v>
      </c>
      <c r="D97" s="23">
        <f t="shared" si="4"/>
        <v>101.08798444929079</v>
      </c>
      <c r="E97" s="31">
        <f t="shared" si="7"/>
        <v>27382.785896340625</v>
      </c>
    </row>
    <row r="98" spans="1:5" s="19" customFormat="1" x14ac:dyDescent="0.2">
      <c r="A98" s="22">
        <v>81</v>
      </c>
      <c r="B98" s="23">
        <f t="shared" si="5"/>
        <v>226.66332101335061</v>
      </c>
      <c r="C98" s="23">
        <f t="shared" si="6"/>
        <v>126.03680199132845</v>
      </c>
      <c r="D98" s="23">
        <f t="shared" si="4"/>
        <v>100.62651902202217</v>
      </c>
      <c r="E98" s="31">
        <f t="shared" si="7"/>
        <v>27256.749094349296</v>
      </c>
    </row>
    <row r="99" spans="1:5" s="19" customFormat="1" x14ac:dyDescent="0.2">
      <c r="A99" s="22">
        <v>82</v>
      </c>
      <c r="B99" s="23">
        <f t="shared" si="5"/>
        <v>226.66332101335061</v>
      </c>
      <c r="C99" s="23">
        <f t="shared" si="6"/>
        <v>126.49996321608718</v>
      </c>
      <c r="D99" s="23">
        <f t="shared" si="4"/>
        <v>100.16335779726343</v>
      </c>
      <c r="E99" s="31">
        <f t="shared" si="7"/>
        <v>27130.249131133209</v>
      </c>
    </row>
    <row r="100" spans="1:5" s="19" customFormat="1" x14ac:dyDescent="0.2">
      <c r="A100" s="22">
        <v>83</v>
      </c>
      <c r="B100" s="23">
        <f t="shared" si="5"/>
        <v>226.66332101335061</v>
      </c>
      <c r="C100" s="23">
        <f t="shared" si="6"/>
        <v>126.96482647006857</v>
      </c>
      <c r="D100" s="23">
        <f t="shared" si="4"/>
        <v>99.698494543282038</v>
      </c>
      <c r="E100" s="31">
        <f t="shared" si="7"/>
        <v>27003.284304663139</v>
      </c>
    </row>
    <row r="101" spans="1:5" s="19" customFormat="1" x14ac:dyDescent="0.2">
      <c r="A101" s="22">
        <v>84</v>
      </c>
      <c r="B101" s="23">
        <f t="shared" si="5"/>
        <v>226.66332101335061</v>
      </c>
      <c r="C101" s="23">
        <f t="shared" si="6"/>
        <v>127.43139800790563</v>
      </c>
      <c r="D101" s="23">
        <f t="shared" si="4"/>
        <v>99.231923005444983</v>
      </c>
      <c r="E101" s="31">
        <f t="shared" si="7"/>
        <v>26875.852906655233</v>
      </c>
    </row>
    <row r="102" spans="1:5" s="19" customFormat="1" x14ac:dyDescent="0.2">
      <c r="A102" s="22">
        <v>85</v>
      </c>
      <c r="B102" s="23">
        <f t="shared" si="5"/>
        <v>226.66332101335061</v>
      </c>
      <c r="C102" s="23">
        <f t="shared" si="6"/>
        <v>127.89968410721589</v>
      </c>
      <c r="D102" s="23">
        <f t="shared" si="4"/>
        <v>98.763636906134721</v>
      </c>
      <c r="E102" s="31">
        <f t="shared" si="7"/>
        <v>26747.953222548018</v>
      </c>
    </row>
    <row r="103" spans="1:5" s="19" customFormat="1" x14ac:dyDescent="0.2">
      <c r="A103" s="22">
        <v>86</v>
      </c>
      <c r="B103" s="23">
        <f t="shared" si="5"/>
        <v>226.66332101335061</v>
      </c>
      <c r="C103" s="23">
        <f t="shared" si="6"/>
        <v>128.369691068686</v>
      </c>
      <c r="D103" s="23">
        <f t="shared" si="4"/>
        <v>98.29362994466463</v>
      </c>
      <c r="E103" s="31">
        <f t="shared" si="7"/>
        <v>26619.583531479333</v>
      </c>
    </row>
    <row r="104" spans="1:5" s="19" customFormat="1" x14ac:dyDescent="0.2">
      <c r="A104" s="22">
        <v>87</v>
      </c>
      <c r="B104" s="23">
        <f t="shared" si="5"/>
        <v>226.66332101335061</v>
      </c>
      <c r="C104" s="23">
        <f t="shared" si="6"/>
        <v>128.84142521615635</v>
      </c>
      <c r="D104" s="23">
        <f t="shared" si="4"/>
        <v>97.821895797194259</v>
      </c>
      <c r="E104" s="31">
        <f t="shared" si="7"/>
        <v>26490.742106263177</v>
      </c>
    </row>
    <row r="105" spans="1:5" s="19" customFormat="1" x14ac:dyDescent="0.2">
      <c r="A105" s="22">
        <v>88</v>
      </c>
      <c r="B105" s="23">
        <f t="shared" si="5"/>
        <v>226.66332101335061</v>
      </c>
      <c r="C105" s="23">
        <f t="shared" si="6"/>
        <v>129.31489289670637</v>
      </c>
      <c r="D105" s="23">
        <f t="shared" si="4"/>
        <v>97.348428116644243</v>
      </c>
      <c r="E105" s="31">
        <f t="shared" si="7"/>
        <v>26361.427213366471</v>
      </c>
    </row>
    <row r="106" spans="1:5" s="19" customFormat="1" x14ac:dyDescent="0.2">
      <c r="A106" s="22">
        <v>89</v>
      </c>
      <c r="B106" s="23">
        <f t="shared" si="5"/>
        <v>226.66332101335061</v>
      </c>
      <c r="C106" s="23">
        <f t="shared" si="6"/>
        <v>129.79010048073968</v>
      </c>
      <c r="D106" s="23">
        <f t="shared" si="4"/>
        <v>96.873220532610944</v>
      </c>
      <c r="E106" s="31">
        <f t="shared" si="7"/>
        <v>26231.637112885732</v>
      </c>
    </row>
    <row r="107" spans="1:5" s="19" customFormat="1" x14ac:dyDescent="0.2">
      <c r="A107" s="22">
        <v>90</v>
      </c>
      <c r="B107" s="23">
        <f t="shared" si="5"/>
        <v>226.66332101335061</v>
      </c>
      <c r="C107" s="23">
        <f t="shared" si="6"/>
        <v>130.26705436206993</v>
      </c>
      <c r="D107" s="23">
        <f t="shared" si="4"/>
        <v>96.396266651280683</v>
      </c>
      <c r="E107" s="31">
        <f t="shared" si="7"/>
        <v>26101.370058523662</v>
      </c>
    </row>
    <row r="108" spans="1:5" s="19" customFormat="1" x14ac:dyDescent="0.2">
      <c r="A108" s="22">
        <v>91</v>
      </c>
      <c r="B108" s="23">
        <f t="shared" si="5"/>
        <v>226.66332101335061</v>
      </c>
      <c r="C108" s="23">
        <f t="shared" si="6"/>
        <v>130.74576095800688</v>
      </c>
      <c r="D108" s="23">
        <f t="shared" si="4"/>
        <v>95.917560055343728</v>
      </c>
      <c r="E108" s="31">
        <f t="shared" si="7"/>
        <v>25970.624297565657</v>
      </c>
    </row>
    <row r="109" spans="1:5" s="19" customFormat="1" x14ac:dyDescent="0.2">
      <c r="A109" s="22">
        <v>92</v>
      </c>
      <c r="B109" s="23">
        <f t="shared" si="5"/>
        <v>226.66332101335061</v>
      </c>
      <c r="C109" s="23">
        <f t="shared" si="6"/>
        <v>131.22622670944264</v>
      </c>
      <c r="D109" s="23">
        <f t="shared" si="4"/>
        <v>95.437094303907983</v>
      </c>
      <c r="E109" s="31">
        <f t="shared" si="7"/>
        <v>25839.398070856216</v>
      </c>
    </row>
    <row r="110" spans="1:5" s="19" customFormat="1" x14ac:dyDescent="0.2">
      <c r="A110" s="22">
        <v>93</v>
      </c>
      <c r="B110" s="23">
        <f t="shared" si="5"/>
        <v>226.66332101335061</v>
      </c>
      <c r="C110" s="23">
        <f t="shared" si="6"/>
        <v>131.70845808093833</v>
      </c>
      <c r="D110" s="23">
        <f t="shared" si="4"/>
        <v>94.954862932412269</v>
      </c>
      <c r="E110" s="31">
        <f t="shared" si="7"/>
        <v>25707.689612775277</v>
      </c>
    </row>
    <row r="111" spans="1:5" s="19" customFormat="1" x14ac:dyDescent="0.2">
      <c r="A111" s="22">
        <v>94</v>
      </c>
      <c r="B111" s="23">
        <f t="shared" si="5"/>
        <v>226.66332101335061</v>
      </c>
      <c r="C111" s="23">
        <f t="shared" si="6"/>
        <v>132.19246156081124</v>
      </c>
      <c r="D111" s="23">
        <f t="shared" si="4"/>
        <v>94.470859452539386</v>
      </c>
      <c r="E111" s="31">
        <f t="shared" si="7"/>
        <v>25575.497151214466</v>
      </c>
    </row>
    <row r="112" spans="1:5" s="19" customFormat="1" x14ac:dyDescent="0.2">
      <c r="A112" s="22">
        <v>95</v>
      </c>
      <c r="B112" s="23">
        <f t="shared" si="5"/>
        <v>226.66332101335061</v>
      </c>
      <c r="C112" s="23">
        <f t="shared" si="6"/>
        <v>132.67824366122179</v>
      </c>
      <c r="D112" s="23">
        <f t="shared" si="4"/>
        <v>93.985077352128826</v>
      </c>
      <c r="E112" s="31">
        <f t="shared" si="7"/>
        <v>25442.818907553243</v>
      </c>
    </row>
    <row r="113" spans="1:5" s="19" customFormat="1" x14ac:dyDescent="0.2">
      <c r="A113" s="22">
        <v>96</v>
      </c>
      <c r="B113" s="23">
        <f t="shared" si="5"/>
        <v>226.66332101335061</v>
      </c>
      <c r="C113" s="23">
        <f t="shared" si="6"/>
        <v>133.16581091826149</v>
      </c>
      <c r="D113" s="23">
        <f t="shared" si="4"/>
        <v>93.497510095089126</v>
      </c>
      <c r="E113" s="31">
        <f t="shared" si="7"/>
        <v>25309.653096634982</v>
      </c>
    </row>
    <row r="114" spans="1:5" s="19" customFormat="1" x14ac:dyDescent="0.2">
      <c r="A114" s="22">
        <v>97</v>
      </c>
      <c r="B114" s="23">
        <f t="shared" si="5"/>
        <v>226.66332101335061</v>
      </c>
      <c r="C114" s="23">
        <f t="shared" si="6"/>
        <v>133.6551698920407</v>
      </c>
      <c r="D114" s="23">
        <f t="shared" si="4"/>
        <v>93.008151121309893</v>
      </c>
      <c r="E114" s="31">
        <f t="shared" si="7"/>
        <v>25175.997926742941</v>
      </c>
    </row>
    <row r="115" spans="1:5" s="19" customFormat="1" x14ac:dyDescent="0.2">
      <c r="A115" s="22">
        <v>98</v>
      </c>
      <c r="B115" s="23">
        <f t="shared" si="5"/>
        <v>226.66332101335061</v>
      </c>
      <c r="C115" s="23">
        <f t="shared" si="6"/>
        <v>134.14632716677698</v>
      </c>
      <c r="D115" s="23">
        <f t="shared" si="4"/>
        <v>92.516993846573641</v>
      </c>
      <c r="E115" s="31">
        <f t="shared" si="7"/>
        <v>25041.851599576163</v>
      </c>
    </row>
    <row r="116" spans="1:5" s="19" customFormat="1" x14ac:dyDescent="0.2">
      <c r="A116" s="22">
        <v>99</v>
      </c>
      <c r="B116" s="23">
        <f t="shared" si="5"/>
        <v>226.66332101335061</v>
      </c>
      <c r="C116" s="23">
        <f t="shared" si="6"/>
        <v>134.63928935088353</v>
      </c>
      <c r="D116" s="23">
        <f t="shared" si="4"/>
        <v>92.024031662467081</v>
      </c>
      <c r="E116" s="31">
        <f t="shared" si="7"/>
        <v>24907.212310225281</v>
      </c>
    </row>
    <row r="117" spans="1:5" s="19" customFormat="1" x14ac:dyDescent="0.2">
      <c r="A117" s="22">
        <v>100</v>
      </c>
      <c r="B117" s="23">
        <f t="shared" si="5"/>
        <v>226.66332101335061</v>
      </c>
      <c r="C117" s="23">
        <f t="shared" si="6"/>
        <v>135.13406307705827</v>
      </c>
      <c r="D117" s="23">
        <f t="shared" si="4"/>
        <v>91.529257936292325</v>
      </c>
      <c r="E117" s="31">
        <f t="shared" si="7"/>
        <v>24772.078247148223</v>
      </c>
    </row>
    <row r="118" spans="1:5" s="19" customFormat="1" x14ac:dyDescent="0.2">
      <c r="A118" s="22">
        <v>101</v>
      </c>
      <c r="B118" s="23">
        <f t="shared" si="5"/>
        <v>226.66332101335061</v>
      </c>
      <c r="C118" s="23">
        <f t="shared" si="6"/>
        <v>135.63065500237309</v>
      </c>
      <c r="D118" s="23">
        <f t="shared" si="4"/>
        <v>91.032666010977536</v>
      </c>
      <c r="E118" s="31">
        <f t="shared" si="7"/>
        <v>24636.447592145851</v>
      </c>
    </row>
    <row r="119" spans="1:5" s="19" customFormat="1" x14ac:dyDescent="0.2">
      <c r="A119" s="22">
        <v>102</v>
      </c>
      <c r="B119" s="23">
        <f t="shared" si="5"/>
        <v>226.66332101335061</v>
      </c>
      <c r="C119" s="23">
        <f t="shared" si="6"/>
        <v>136.12907180836322</v>
      </c>
      <c r="D119" s="23">
        <f t="shared" si="4"/>
        <v>90.534249204987404</v>
      </c>
      <c r="E119" s="31">
        <f t="shared" si="7"/>
        <v>24500.318520337489</v>
      </c>
    </row>
    <row r="120" spans="1:5" s="19" customFormat="1" x14ac:dyDescent="0.2">
      <c r="A120" s="22">
        <v>103</v>
      </c>
      <c r="B120" s="23">
        <f t="shared" si="5"/>
        <v>226.66332101335061</v>
      </c>
      <c r="C120" s="23">
        <f t="shared" si="6"/>
        <v>136.62932020111731</v>
      </c>
      <c r="D120" s="23">
        <f t="shared" si="4"/>
        <v>90.034000812233288</v>
      </c>
      <c r="E120" s="31">
        <f t="shared" si="7"/>
        <v>24363.68920013637</v>
      </c>
    </row>
    <row r="121" spans="1:5" s="19" customFormat="1" x14ac:dyDescent="0.2">
      <c r="A121" s="22">
        <v>104</v>
      </c>
      <c r="B121" s="23">
        <f t="shared" si="5"/>
        <v>226.66332101335061</v>
      </c>
      <c r="C121" s="23">
        <f t="shared" si="6"/>
        <v>137.13140691136766</v>
      </c>
      <c r="D121" s="23">
        <f t="shared" si="4"/>
        <v>89.531914101982935</v>
      </c>
      <c r="E121" s="31">
        <f t="shared" si="7"/>
        <v>24226.557793225002</v>
      </c>
    </row>
    <row r="122" spans="1:5" s="19" customFormat="1" x14ac:dyDescent="0.2">
      <c r="A122" s="22">
        <v>105</v>
      </c>
      <c r="B122" s="23">
        <f t="shared" si="5"/>
        <v>226.66332101335061</v>
      </c>
      <c r="C122" s="23">
        <f t="shared" si="6"/>
        <v>137.6353386945807</v>
      </c>
      <c r="D122" s="23">
        <f t="shared" si="4"/>
        <v>89.027982318769901</v>
      </c>
      <c r="E122" s="31">
        <f t="shared" si="7"/>
        <v>24088.922454530421</v>
      </c>
    </row>
    <row r="123" spans="1:5" s="19" customFormat="1" x14ac:dyDescent="0.2">
      <c r="A123" s="22">
        <v>106</v>
      </c>
      <c r="B123" s="23">
        <f t="shared" si="5"/>
        <v>226.66332101335061</v>
      </c>
      <c r="C123" s="23">
        <f t="shared" si="6"/>
        <v>138.14112233104788</v>
      </c>
      <c r="D123" s="23">
        <f t="shared" si="4"/>
        <v>88.522198682302744</v>
      </c>
      <c r="E123" s="31">
        <f t="shared" si="7"/>
        <v>23950.781332199374</v>
      </c>
    </row>
    <row r="124" spans="1:5" s="19" customFormat="1" x14ac:dyDescent="0.2">
      <c r="A124" s="22">
        <v>107</v>
      </c>
      <c r="B124" s="23">
        <f t="shared" si="5"/>
        <v>226.66332101335061</v>
      </c>
      <c r="C124" s="23">
        <f t="shared" si="6"/>
        <v>138.6487646259769</v>
      </c>
      <c r="D124" s="23">
        <f t="shared" si="4"/>
        <v>88.014556387373716</v>
      </c>
      <c r="E124" s="31">
        <f t="shared" si="7"/>
        <v>23812.132567573397</v>
      </c>
    </row>
    <row r="125" spans="1:5" s="19" customFormat="1" x14ac:dyDescent="0.2">
      <c r="A125" s="22">
        <v>108</v>
      </c>
      <c r="B125" s="23">
        <f t="shared" si="5"/>
        <v>226.66332101335061</v>
      </c>
      <c r="C125" s="23">
        <f t="shared" si="6"/>
        <v>139.15827240958339</v>
      </c>
      <c r="D125" s="23">
        <f t="shared" si="4"/>
        <v>87.505048603767221</v>
      </c>
      <c r="E125" s="31">
        <f t="shared" si="7"/>
        <v>23672.974295163815</v>
      </c>
    </row>
    <row r="126" spans="1:5" s="19" customFormat="1" x14ac:dyDescent="0.2">
      <c r="A126" s="22">
        <v>109</v>
      </c>
      <c r="B126" s="23">
        <f t="shared" si="5"/>
        <v>226.66332101335061</v>
      </c>
      <c r="C126" s="23">
        <f t="shared" si="6"/>
        <v>139.66965253718269</v>
      </c>
      <c r="D126" s="23">
        <f t="shared" si="4"/>
        <v>86.99366847616794</v>
      </c>
      <c r="E126" s="31">
        <f t="shared" si="7"/>
        <v>23533.30464262663</v>
      </c>
    </row>
    <row r="127" spans="1:5" s="19" customFormat="1" x14ac:dyDescent="0.2">
      <c r="A127" s="22">
        <v>110</v>
      </c>
      <c r="B127" s="23">
        <f t="shared" si="5"/>
        <v>226.66332101335061</v>
      </c>
      <c r="C127" s="23">
        <f t="shared" si="6"/>
        <v>140.18291188928208</v>
      </c>
      <c r="D127" s="23">
        <f t="shared" si="4"/>
        <v>86.480409124068544</v>
      </c>
      <c r="E127" s="31">
        <f t="shared" si="7"/>
        <v>23393.121730737348</v>
      </c>
    </row>
    <row r="128" spans="1:5" s="19" customFormat="1" x14ac:dyDescent="0.2">
      <c r="A128" s="22">
        <v>111</v>
      </c>
      <c r="B128" s="23">
        <f t="shared" si="5"/>
        <v>226.66332101335061</v>
      </c>
      <c r="C128" s="23">
        <f t="shared" si="6"/>
        <v>140.69805737167343</v>
      </c>
      <c r="D128" s="23">
        <f t="shared" si="4"/>
        <v>85.965263641677197</v>
      </c>
      <c r="E128" s="31">
        <f t="shared" si="7"/>
        <v>23252.423673365676</v>
      </c>
    </row>
    <row r="129" spans="1:5" s="19" customFormat="1" x14ac:dyDescent="0.2">
      <c r="A129" s="22">
        <v>112</v>
      </c>
      <c r="B129" s="23">
        <f t="shared" si="5"/>
        <v>226.66332101335061</v>
      </c>
      <c r="C129" s="23">
        <f t="shared" si="6"/>
        <v>141.21509591552604</v>
      </c>
      <c r="D129" s="23">
        <f t="shared" si="4"/>
        <v>85.448225097824576</v>
      </c>
      <c r="E129" s="31">
        <f t="shared" si="7"/>
        <v>23111.20857745015</v>
      </c>
    </row>
    <row r="130" spans="1:5" s="19" customFormat="1" x14ac:dyDescent="0.2">
      <c r="A130" s="22">
        <v>113</v>
      </c>
      <c r="B130" s="23">
        <f t="shared" si="5"/>
        <v>226.66332101335061</v>
      </c>
      <c r="C130" s="23">
        <f t="shared" si="6"/>
        <v>141.73403447748001</v>
      </c>
      <c r="D130" s="23">
        <f t="shared" si="4"/>
        <v>84.929286535870602</v>
      </c>
      <c r="E130" s="31">
        <f t="shared" si="7"/>
        <v>22969.474542972672</v>
      </c>
    </row>
    <row r="131" spans="1:5" s="19" customFormat="1" x14ac:dyDescent="0.2">
      <c r="A131" s="22">
        <v>114</v>
      </c>
      <c r="B131" s="23">
        <f t="shared" si="5"/>
        <v>226.66332101335061</v>
      </c>
      <c r="C131" s="23">
        <f t="shared" si="6"/>
        <v>142.2548800397397</v>
      </c>
      <c r="D131" s="23">
        <f t="shared" si="4"/>
        <v>84.408440973610922</v>
      </c>
      <c r="E131" s="31">
        <f t="shared" si="7"/>
        <v>22827.219662932934</v>
      </c>
    </row>
    <row r="132" spans="1:5" s="19" customFormat="1" x14ac:dyDescent="0.2">
      <c r="A132" s="22">
        <v>115</v>
      </c>
      <c r="B132" s="23">
        <f t="shared" si="5"/>
        <v>226.66332101335061</v>
      </c>
      <c r="C132" s="23">
        <f t="shared" si="6"/>
        <v>142.77763961016774</v>
      </c>
      <c r="D132" s="23">
        <f t="shared" si="4"/>
        <v>83.885681403182886</v>
      </c>
      <c r="E132" s="31">
        <f t="shared" si="7"/>
        <v>22684.442023322765</v>
      </c>
    </row>
    <row r="133" spans="1:5" s="19" customFormat="1" x14ac:dyDescent="0.2">
      <c r="A133" s="22">
        <v>116</v>
      </c>
      <c r="B133" s="23">
        <f t="shared" si="5"/>
        <v>226.66332101335061</v>
      </c>
      <c r="C133" s="23">
        <f t="shared" si="6"/>
        <v>143.30232022237936</v>
      </c>
      <c r="D133" s="23">
        <f t="shared" si="4"/>
        <v>83.361000790971246</v>
      </c>
      <c r="E133" s="31">
        <f t="shared" si="7"/>
        <v>22541.139703100387</v>
      </c>
    </row>
    <row r="134" spans="1:5" s="19" customFormat="1" x14ac:dyDescent="0.2">
      <c r="A134" s="22">
        <v>117</v>
      </c>
      <c r="B134" s="23">
        <f t="shared" si="5"/>
        <v>226.66332101335061</v>
      </c>
      <c r="C134" s="23">
        <f t="shared" si="6"/>
        <v>143.82892893583698</v>
      </c>
      <c r="D134" s="23">
        <f t="shared" si="4"/>
        <v>82.834392077513641</v>
      </c>
      <c r="E134" s="31">
        <f t="shared" si="7"/>
        <v>22397.310774164551</v>
      </c>
    </row>
    <row r="135" spans="1:5" s="19" customFormat="1" x14ac:dyDescent="0.2">
      <c r="A135" s="22">
        <v>118</v>
      </c>
      <c r="B135" s="23">
        <f t="shared" si="5"/>
        <v>226.66332101335061</v>
      </c>
      <c r="C135" s="23">
        <f t="shared" si="6"/>
        <v>144.35747283594515</v>
      </c>
      <c r="D135" s="23">
        <f t="shared" si="4"/>
        <v>82.305848177405466</v>
      </c>
      <c r="E135" s="31">
        <f t="shared" si="7"/>
        <v>22252.953301328605</v>
      </c>
    </row>
    <row r="136" spans="1:5" s="19" customFormat="1" x14ac:dyDescent="0.2">
      <c r="A136" s="22">
        <v>119</v>
      </c>
      <c r="B136" s="23">
        <f t="shared" si="5"/>
        <v>226.66332101335061</v>
      </c>
      <c r="C136" s="23">
        <f t="shared" si="6"/>
        <v>144.88795903414598</v>
      </c>
      <c r="D136" s="23">
        <f t="shared" si="4"/>
        <v>81.775361979204632</v>
      </c>
      <c r="E136" s="31">
        <f t="shared" si="7"/>
        <v>22108.06534229446</v>
      </c>
    </row>
    <row r="137" spans="1:5" s="19" customFormat="1" x14ac:dyDescent="0.2">
      <c r="A137" s="22">
        <v>120</v>
      </c>
      <c r="B137" s="23">
        <f t="shared" si="5"/>
        <v>226.66332101335061</v>
      </c>
      <c r="C137" s="23">
        <f t="shared" si="6"/>
        <v>145.42039466801478</v>
      </c>
      <c r="D137" s="23">
        <f t="shared" si="4"/>
        <v>81.242926345335832</v>
      </c>
      <c r="E137" s="31">
        <f t="shared" si="7"/>
        <v>21962.644947626446</v>
      </c>
    </row>
    <row r="138" spans="1:5" s="19" customFormat="1" x14ac:dyDescent="0.2">
      <c r="A138" s="22">
        <v>121</v>
      </c>
      <c r="B138" s="23">
        <f t="shared" si="5"/>
        <v>226.66332101335061</v>
      </c>
      <c r="C138" s="23">
        <f t="shared" si="6"/>
        <v>145.95478690135604</v>
      </c>
      <c r="D138" s="23">
        <f t="shared" si="4"/>
        <v>80.708534111994581</v>
      </c>
      <c r="E138" s="31">
        <f t="shared" si="7"/>
        <v>21816.690160725091</v>
      </c>
    </row>
    <row r="139" spans="1:5" s="19" customFormat="1" x14ac:dyDescent="0.2">
      <c r="A139" s="22">
        <v>122</v>
      </c>
      <c r="B139" s="23">
        <f t="shared" si="5"/>
        <v>226.66332101335061</v>
      </c>
      <c r="C139" s="23">
        <f t="shared" si="6"/>
        <v>146.49114292429988</v>
      </c>
      <c r="D139" s="23">
        <f t="shared" si="4"/>
        <v>80.172178089050732</v>
      </c>
      <c r="E139" s="31">
        <f t="shared" si="7"/>
        <v>21670.199017800791</v>
      </c>
    </row>
    <row r="140" spans="1:5" s="19" customFormat="1" x14ac:dyDescent="0.2">
      <c r="A140" s="22">
        <v>123</v>
      </c>
      <c r="B140" s="23">
        <f t="shared" si="5"/>
        <v>226.66332101335061</v>
      </c>
      <c r="C140" s="23">
        <f t="shared" si="6"/>
        <v>147.02946995339886</v>
      </c>
      <c r="D140" s="23">
        <f t="shared" si="4"/>
        <v>79.633851059951766</v>
      </c>
      <c r="E140" s="31">
        <f t="shared" si="7"/>
        <v>21523.169547847392</v>
      </c>
    </row>
    <row r="141" spans="1:5" s="19" customFormat="1" x14ac:dyDescent="0.2">
      <c r="A141" s="22">
        <v>124</v>
      </c>
      <c r="B141" s="23">
        <f t="shared" si="5"/>
        <v>226.66332101335061</v>
      </c>
      <c r="C141" s="23">
        <f t="shared" si="6"/>
        <v>147.56977523172483</v>
      </c>
      <c r="D141" s="23">
        <f t="shared" si="4"/>
        <v>79.093545781625778</v>
      </c>
      <c r="E141" s="31">
        <f t="shared" si="7"/>
        <v>21375.599772615667</v>
      </c>
    </row>
    <row r="142" spans="1:5" s="19" customFormat="1" x14ac:dyDescent="0.2">
      <c r="A142" s="22">
        <v>125</v>
      </c>
      <c r="B142" s="23">
        <f t="shared" si="5"/>
        <v>226.66332101335061</v>
      </c>
      <c r="C142" s="23">
        <f t="shared" si="6"/>
        <v>148.11206602896675</v>
      </c>
      <c r="D142" s="23">
        <f t="shared" si="4"/>
        <v>78.551254984383874</v>
      </c>
      <c r="E142" s="31">
        <f t="shared" si="7"/>
        <v>21227.4877065867</v>
      </c>
    </row>
    <row r="143" spans="1:5" s="19" customFormat="1" x14ac:dyDescent="0.2">
      <c r="A143" s="22">
        <v>126</v>
      </c>
      <c r="B143" s="23">
        <f t="shared" si="5"/>
        <v>226.66332101335061</v>
      </c>
      <c r="C143" s="23">
        <f t="shared" si="6"/>
        <v>148.6563496415281</v>
      </c>
      <c r="D143" s="23">
        <f t="shared" si="4"/>
        <v>78.006971371822502</v>
      </c>
      <c r="E143" s="31">
        <f t="shared" si="7"/>
        <v>21078.831356945171</v>
      </c>
    </row>
    <row r="144" spans="1:5" s="19" customFormat="1" x14ac:dyDescent="0.2">
      <c r="A144" s="22">
        <v>127</v>
      </c>
      <c r="B144" s="23">
        <f t="shared" si="5"/>
        <v>226.66332101335061</v>
      </c>
      <c r="C144" s="23">
        <f t="shared" si="6"/>
        <v>149.20263339262544</v>
      </c>
      <c r="D144" s="23">
        <f t="shared" si="4"/>
        <v>77.460687620725182</v>
      </c>
      <c r="E144" s="31">
        <f t="shared" si="7"/>
        <v>20929.628723552545</v>
      </c>
    </row>
    <row r="145" spans="1:5" s="19" customFormat="1" x14ac:dyDescent="0.2">
      <c r="A145" s="22">
        <v>128</v>
      </c>
      <c r="B145" s="23">
        <f t="shared" si="5"/>
        <v>226.66332101335061</v>
      </c>
      <c r="C145" s="23">
        <f t="shared" si="6"/>
        <v>149.75092463238659</v>
      </c>
      <c r="D145" s="23">
        <f t="shared" si="4"/>
        <v>76.912396380964026</v>
      </c>
      <c r="E145" s="31">
        <f t="shared" si="7"/>
        <v>20779.877798920159</v>
      </c>
    </row>
    <row r="146" spans="1:5" s="19" customFormat="1" x14ac:dyDescent="0.2">
      <c r="A146" s="22">
        <v>129</v>
      </c>
      <c r="B146" s="23">
        <f t="shared" si="5"/>
        <v>226.66332101335061</v>
      </c>
      <c r="C146" s="23">
        <f t="shared" si="6"/>
        <v>150.30123073794977</v>
      </c>
      <c r="D146" s="23">
        <f t="shared" ref="D146:D209" si="8">E145*B$7</f>
        <v>76.362090275400831</v>
      </c>
      <c r="E146" s="31">
        <f t="shared" si="7"/>
        <v>20629.576568182209</v>
      </c>
    </row>
    <row r="147" spans="1:5" s="19" customFormat="1" x14ac:dyDescent="0.2">
      <c r="A147" s="22">
        <v>130</v>
      </c>
      <c r="B147" s="23">
        <f t="shared" ref="B147:B210" si="9">B$9</f>
        <v>226.66332101335061</v>
      </c>
      <c r="C147" s="23">
        <f t="shared" ref="C147:C210" si="10">B147-D147</f>
        <v>150.85355911356282</v>
      </c>
      <c r="D147" s="23">
        <f t="shared" si="8"/>
        <v>75.809761899787787</v>
      </c>
      <c r="E147" s="31">
        <f t="shared" ref="E147:E210" si="11">E146-C147</f>
        <v>20478.723009068646</v>
      </c>
    </row>
    <row r="148" spans="1:5" s="19" customFormat="1" x14ac:dyDescent="0.2">
      <c r="A148" s="22">
        <v>131</v>
      </c>
      <c r="B148" s="23">
        <f t="shared" si="9"/>
        <v>226.66332101335061</v>
      </c>
      <c r="C148" s="23">
        <f t="shared" si="10"/>
        <v>151.40791719068272</v>
      </c>
      <c r="D148" s="23">
        <f t="shared" si="8"/>
        <v>75.255403822667901</v>
      </c>
      <c r="E148" s="31">
        <f t="shared" si="11"/>
        <v>20327.315091877965</v>
      </c>
    </row>
    <row r="149" spans="1:5" s="19" customFormat="1" x14ac:dyDescent="0.2">
      <c r="A149" s="22">
        <v>132</v>
      </c>
      <c r="B149" s="23">
        <f t="shared" si="9"/>
        <v>226.66332101335061</v>
      </c>
      <c r="C149" s="23">
        <f t="shared" si="10"/>
        <v>151.96431242807557</v>
      </c>
      <c r="D149" s="23">
        <f t="shared" si="8"/>
        <v>74.699008585275024</v>
      </c>
      <c r="E149" s="31">
        <f t="shared" si="11"/>
        <v>20175.350779449887</v>
      </c>
    </row>
    <row r="150" spans="1:5" s="19" customFormat="1" x14ac:dyDescent="0.2">
      <c r="A150" s="22">
        <v>133</v>
      </c>
      <c r="B150" s="23">
        <f t="shared" si="9"/>
        <v>226.66332101335061</v>
      </c>
      <c r="C150" s="23">
        <f t="shared" si="10"/>
        <v>152.5227523119172</v>
      </c>
      <c r="D150" s="23">
        <f t="shared" si="8"/>
        <v>74.140568701433409</v>
      </c>
      <c r="E150" s="31">
        <f t="shared" si="11"/>
        <v>20022.82802713797</v>
      </c>
    </row>
    <row r="151" spans="1:5" s="19" customFormat="1" x14ac:dyDescent="0.2">
      <c r="A151" s="22">
        <v>134</v>
      </c>
      <c r="B151" s="23">
        <f t="shared" si="9"/>
        <v>226.66332101335061</v>
      </c>
      <c r="C151" s="23">
        <f t="shared" si="10"/>
        <v>153.08324435589356</v>
      </c>
      <c r="D151" s="23">
        <f t="shared" si="8"/>
        <v>73.58007665745707</v>
      </c>
      <c r="E151" s="31">
        <f t="shared" si="11"/>
        <v>19869.744782782076</v>
      </c>
    </row>
    <row r="152" spans="1:5" s="19" customFormat="1" x14ac:dyDescent="0.2">
      <c r="A152" s="22">
        <v>135</v>
      </c>
      <c r="B152" s="23">
        <f t="shared" si="9"/>
        <v>226.66332101335061</v>
      </c>
      <c r="C152" s="23">
        <f t="shared" si="10"/>
        <v>153.64579610130195</v>
      </c>
      <c r="D152" s="23">
        <f t="shared" si="8"/>
        <v>73.017524912048657</v>
      </c>
      <c r="E152" s="31">
        <f t="shared" si="11"/>
        <v>19716.098986680776</v>
      </c>
    </row>
    <row r="153" spans="1:5" s="19" customFormat="1" x14ac:dyDescent="0.2">
      <c r="A153" s="22">
        <v>136</v>
      </c>
      <c r="B153" s="23">
        <f t="shared" si="9"/>
        <v>226.66332101335061</v>
      </c>
      <c r="C153" s="23">
        <f t="shared" si="10"/>
        <v>154.21041511715262</v>
      </c>
      <c r="D153" s="23">
        <f t="shared" si="8"/>
        <v>72.45290589619799</v>
      </c>
      <c r="E153" s="31">
        <f t="shared" si="11"/>
        <v>19561.888571563624</v>
      </c>
    </row>
    <row r="154" spans="1:5" s="19" customFormat="1" x14ac:dyDescent="0.2">
      <c r="A154" s="22">
        <v>137</v>
      </c>
      <c r="B154" s="23">
        <f t="shared" si="9"/>
        <v>226.66332101335061</v>
      </c>
      <c r="C154" s="23">
        <f t="shared" si="10"/>
        <v>154.7771090002704</v>
      </c>
      <c r="D154" s="23">
        <f t="shared" si="8"/>
        <v>71.886212013080225</v>
      </c>
      <c r="E154" s="31">
        <f t="shared" si="11"/>
        <v>19407.111462563353</v>
      </c>
    </row>
    <row r="155" spans="1:5" s="19" customFormat="1" x14ac:dyDescent="0.2">
      <c r="A155" s="22">
        <v>138</v>
      </c>
      <c r="B155" s="23">
        <f t="shared" si="9"/>
        <v>226.66332101335061</v>
      </c>
      <c r="C155" s="23">
        <f t="shared" si="10"/>
        <v>155.34588537539702</v>
      </c>
      <c r="D155" s="23">
        <f t="shared" si="8"/>
        <v>71.317435637953579</v>
      </c>
      <c r="E155" s="31">
        <f t="shared" si="11"/>
        <v>19251.765577187954</v>
      </c>
    </row>
    <row r="156" spans="1:5" s="19" customFormat="1" x14ac:dyDescent="0.2">
      <c r="A156" s="22">
        <v>139</v>
      </c>
      <c r="B156" s="23">
        <f t="shared" si="9"/>
        <v>226.66332101335061</v>
      </c>
      <c r="C156" s="23">
        <f t="shared" si="10"/>
        <v>155.91675189529371</v>
      </c>
      <c r="D156" s="23">
        <f t="shared" si="8"/>
        <v>70.746569118056883</v>
      </c>
      <c r="E156" s="31">
        <f t="shared" si="11"/>
        <v>19095.848825292662</v>
      </c>
    </row>
    <row r="157" spans="1:5" s="19" customFormat="1" x14ac:dyDescent="0.2">
      <c r="A157" s="22">
        <v>140</v>
      </c>
      <c r="B157" s="23">
        <f t="shared" si="9"/>
        <v>226.66332101335061</v>
      </c>
      <c r="C157" s="23">
        <f t="shared" si="10"/>
        <v>156.48971624084413</v>
      </c>
      <c r="D157" s="23">
        <f t="shared" si="8"/>
        <v>70.173604772506479</v>
      </c>
      <c r="E157" s="31">
        <f t="shared" si="11"/>
        <v>18939.359109051817</v>
      </c>
    </row>
    <row r="158" spans="1:5" s="19" customFormat="1" x14ac:dyDescent="0.2">
      <c r="A158" s="22">
        <v>141</v>
      </c>
      <c r="B158" s="23">
        <f t="shared" si="9"/>
        <v>226.66332101335061</v>
      </c>
      <c r="C158" s="23">
        <f t="shared" si="10"/>
        <v>157.06478612115768</v>
      </c>
      <c r="D158" s="23">
        <f t="shared" si="8"/>
        <v>69.59853489219293</v>
      </c>
      <c r="E158" s="31">
        <f t="shared" si="11"/>
        <v>18782.294322930658</v>
      </c>
    </row>
    <row r="159" spans="1:5" s="19" customFormat="1" x14ac:dyDescent="0.2">
      <c r="A159" s="22">
        <v>142</v>
      </c>
      <c r="B159" s="23">
        <f t="shared" si="9"/>
        <v>226.66332101335061</v>
      </c>
      <c r="C159" s="23">
        <f t="shared" si="10"/>
        <v>157.64196927367334</v>
      </c>
      <c r="D159" s="23">
        <f t="shared" si="8"/>
        <v>69.021351739677286</v>
      </c>
      <c r="E159" s="31">
        <f t="shared" si="11"/>
        <v>18624.652353656984</v>
      </c>
    </row>
    <row r="160" spans="1:5" s="19" customFormat="1" x14ac:dyDescent="0.2">
      <c r="A160" s="22">
        <v>143</v>
      </c>
      <c r="B160" s="23">
        <f t="shared" si="9"/>
        <v>226.66332101335061</v>
      </c>
      <c r="C160" s="23">
        <f t="shared" si="10"/>
        <v>158.22127346426359</v>
      </c>
      <c r="D160" s="23">
        <f t="shared" si="8"/>
        <v>68.442047549087022</v>
      </c>
      <c r="E160" s="31">
        <f t="shared" si="11"/>
        <v>18466.43108019272</v>
      </c>
    </row>
    <row r="161" spans="1:5" s="19" customFormat="1" x14ac:dyDescent="0.2">
      <c r="A161" s="22">
        <v>144</v>
      </c>
      <c r="B161" s="23">
        <f t="shared" si="9"/>
        <v>226.66332101335061</v>
      </c>
      <c r="C161" s="23">
        <f t="shared" si="10"/>
        <v>158.80270648733915</v>
      </c>
      <c r="D161" s="23">
        <f t="shared" si="8"/>
        <v>67.860614526011446</v>
      </c>
      <c r="E161" s="31">
        <f t="shared" si="11"/>
        <v>18307.628373705382</v>
      </c>
    </row>
    <row r="162" spans="1:5" s="19" customFormat="1" x14ac:dyDescent="0.2">
      <c r="A162" s="22">
        <v>145</v>
      </c>
      <c r="B162" s="23">
        <f t="shared" si="9"/>
        <v>226.66332101335061</v>
      </c>
      <c r="C162" s="23">
        <f t="shared" si="10"/>
        <v>159.38627616595363</v>
      </c>
      <c r="D162" s="23">
        <f t="shared" si="8"/>
        <v>67.277044847396965</v>
      </c>
      <c r="E162" s="31">
        <f t="shared" si="11"/>
        <v>18148.242097539427</v>
      </c>
    </row>
    <row r="163" spans="1:5" s="19" customFormat="1" x14ac:dyDescent="0.2">
      <c r="A163" s="22">
        <v>146</v>
      </c>
      <c r="B163" s="23">
        <f t="shared" si="9"/>
        <v>226.66332101335061</v>
      </c>
      <c r="C163" s="23">
        <f t="shared" si="10"/>
        <v>159.97199035190891</v>
      </c>
      <c r="D163" s="23">
        <f t="shared" si="8"/>
        <v>66.691330661441683</v>
      </c>
      <c r="E163" s="31">
        <f t="shared" si="11"/>
        <v>17988.27010718752</v>
      </c>
    </row>
    <row r="164" spans="1:5" s="19" customFormat="1" x14ac:dyDescent="0.2">
      <c r="A164" s="22">
        <v>147</v>
      </c>
      <c r="B164" s="23">
        <f t="shared" si="9"/>
        <v>226.66332101335061</v>
      </c>
      <c r="C164" s="23">
        <f t="shared" si="10"/>
        <v>160.55985692586069</v>
      </c>
      <c r="D164" s="23">
        <f t="shared" si="8"/>
        <v>66.103464087489911</v>
      </c>
      <c r="E164" s="31">
        <f t="shared" si="11"/>
        <v>17827.710250261658</v>
      </c>
    </row>
    <row r="165" spans="1:5" s="19" customFormat="1" x14ac:dyDescent="0.2">
      <c r="A165" s="22">
        <v>148</v>
      </c>
      <c r="B165" s="23">
        <f t="shared" si="9"/>
        <v>226.66332101335061</v>
      </c>
      <c r="C165" s="23">
        <f t="shared" si="10"/>
        <v>161.14988379742465</v>
      </c>
      <c r="D165" s="23">
        <f t="shared" si="8"/>
        <v>65.513437215925961</v>
      </c>
      <c r="E165" s="31">
        <f t="shared" si="11"/>
        <v>17666.560366464233</v>
      </c>
    </row>
    <row r="166" spans="1:5" s="19" customFormat="1" x14ac:dyDescent="0.2">
      <c r="A166" s="22">
        <v>149</v>
      </c>
      <c r="B166" s="23">
        <f t="shared" si="9"/>
        <v>226.66332101335061</v>
      </c>
      <c r="C166" s="23">
        <f t="shared" si="10"/>
        <v>161.74207890528274</v>
      </c>
      <c r="D166" s="23">
        <f t="shared" si="8"/>
        <v>64.921242108067872</v>
      </c>
      <c r="E166" s="31">
        <f t="shared" si="11"/>
        <v>17504.818287558952</v>
      </c>
    </row>
    <row r="167" spans="1:5" s="19" customFormat="1" x14ac:dyDescent="0.2">
      <c r="A167" s="22">
        <v>150</v>
      </c>
      <c r="B167" s="23">
        <f t="shared" si="9"/>
        <v>226.66332101335061</v>
      </c>
      <c r="C167" s="23">
        <f t="shared" si="10"/>
        <v>162.33645021729006</v>
      </c>
      <c r="D167" s="23">
        <f t="shared" si="8"/>
        <v>64.326870796060547</v>
      </c>
      <c r="E167" s="31">
        <f t="shared" si="11"/>
        <v>17342.48183734166</v>
      </c>
    </row>
    <row r="168" spans="1:5" s="19" customFormat="1" x14ac:dyDescent="0.2">
      <c r="A168" s="22">
        <v>151</v>
      </c>
      <c r="B168" s="23">
        <f t="shared" si="9"/>
        <v>226.66332101335061</v>
      </c>
      <c r="C168" s="23">
        <f t="shared" si="10"/>
        <v>162.93300573058212</v>
      </c>
      <c r="D168" s="23">
        <f t="shared" si="8"/>
        <v>63.730315282768494</v>
      </c>
      <c r="E168" s="31">
        <f t="shared" si="11"/>
        <v>17179.548831611079</v>
      </c>
    </row>
    <row r="169" spans="1:5" s="19" customFormat="1" x14ac:dyDescent="0.2">
      <c r="A169" s="22">
        <v>152</v>
      </c>
      <c r="B169" s="23">
        <f t="shared" si="9"/>
        <v>226.66332101335061</v>
      </c>
      <c r="C169" s="23">
        <f t="shared" si="10"/>
        <v>163.53175347168229</v>
      </c>
      <c r="D169" s="23">
        <f t="shared" si="8"/>
        <v>63.131567541668318</v>
      </c>
      <c r="E169" s="31">
        <f t="shared" si="11"/>
        <v>17016.017078139397</v>
      </c>
    </row>
    <row r="170" spans="1:5" s="19" customFormat="1" x14ac:dyDescent="0.2">
      <c r="A170" s="22">
        <v>153</v>
      </c>
      <c r="B170" s="23">
        <f t="shared" si="9"/>
        <v>226.66332101335061</v>
      </c>
      <c r="C170" s="23">
        <f t="shared" si="10"/>
        <v>164.13270149660994</v>
      </c>
      <c r="D170" s="23">
        <f t="shared" si="8"/>
        <v>62.530619516740664</v>
      </c>
      <c r="E170" s="31">
        <f t="shared" si="11"/>
        <v>16851.884376642789</v>
      </c>
    </row>
    <row r="171" spans="1:5" s="19" customFormat="1" x14ac:dyDescent="0.2">
      <c r="A171" s="22">
        <v>154</v>
      </c>
      <c r="B171" s="23">
        <f t="shared" si="9"/>
        <v>226.66332101335061</v>
      </c>
      <c r="C171" s="23">
        <f t="shared" si="10"/>
        <v>164.73585789098877</v>
      </c>
      <c r="D171" s="23">
        <f t="shared" si="8"/>
        <v>61.927463122361829</v>
      </c>
      <c r="E171" s="31">
        <f t="shared" si="11"/>
        <v>16687.148518751801</v>
      </c>
    </row>
    <row r="172" spans="1:5" s="19" customFormat="1" x14ac:dyDescent="0.2">
      <c r="A172" s="22">
        <v>155</v>
      </c>
      <c r="B172" s="23">
        <f t="shared" si="9"/>
        <v>226.66332101335061</v>
      </c>
      <c r="C172" s="23">
        <f t="shared" si="10"/>
        <v>165.34123077015562</v>
      </c>
      <c r="D172" s="23">
        <f t="shared" si="8"/>
        <v>61.322090243194999</v>
      </c>
      <c r="E172" s="31">
        <f t="shared" si="11"/>
        <v>16521.807287981646</v>
      </c>
    </row>
    <row r="173" spans="1:5" s="19" customFormat="1" x14ac:dyDescent="0.2">
      <c r="A173" s="22">
        <v>156</v>
      </c>
      <c r="B173" s="23">
        <f t="shared" si="9"/>
        <v>226.66332101335061</v>
      </c>
      <c r="C173" s="23">
        <f t="shared" si="10"/>
        <v>165.94882827926958</v>
      </c>
      <c r="D173" s="23">
        <f t="shared" si="8"/>
        <v>60.714492734081034</v>
      </c>
      <c r="E173" s="31">
        <f t="shared" si="11"/>
        <v>16355.858459702376</v>
      </c>
    </row>
    <row r="174" spans="1:5" s="19" customFormat="1" x14ac:dyDescent="0.2">
      <c r="A174" s="22">
        <v>157</v>
      </c>
      <c r="B174" s="23">
        <f t="shared" si="9"/>
        <v>226.66332101335061</v>
      </c>
      <c r="C174" s="23">
        <f t="shared" si="10"/>
        <v>166.55865859342171</v>
      </c>
      <c r="D174" s="23">
        <f t="shared" si="8"/>
        <v>60.104662419928893</v>
      </c>
      <c r="E174" s="31">
        <f t="shared" si="11"/>
        <v>16189.299801108955</v>
      </c>
    </row>
    <row r="175" spans="1:5" s="19" customFormat="1" x14ac:dyDescent="0.2">
      <c r="A175" s="22">
        <v>158</v>
      </c>
      <c r="B175" s="23">
        <f t="shared" si="9"/>
        <v>226.66332101335061</v>
      </c>
      <c r="C175" s="23">
        <f t="shared" si="10"/>
        <v>167.17072991774498</v>
      </c>
      <c r="D175" s="23">
        <f t="shared" si="8"/>
        <v>59.49259109560564</v>
      </c>
      <c r="E175" s="31">
        <f t="shared" si="11"/>
        <v>16022.12907119121</v>
      </c>
    </row>
    <row r="176" spans="1:5" s="19" customFormat="1" x14ac:dyDescent="0.2">
      <c r="A176" s="22">
        <v>159</v>
      </c>
      <c r="B176" s="23">
        <f t="shared" si="9"/>
        <v>226.66332101335061</v>
      </c>
      <c r="C176" s="23">
        <f t="shared" si="10"/>
        <v>167.78505048752459</v>
      </c>
      <c r="D176" s="23">
        <f t="shared" si="8"/>
        <v>58.878270525826018</v>
      </c>
      <c r="E176" s="31">
        <f t="shared" si="11"/>
        <v>15854.344020703686</v>
      </c>
    </row>
    <row r="177" spans="1:5" s="19" customFormat="1" x14ac:dyDescent="0.2">
      <c r="A177" s="22">
        <v>160</v>
      </c>
      <c r="B177" s="23">
        <f t="shared" si="9"/>
        <v>226.66332101335061</v>
      </c>
      <c r="C177" s="23">
        <f t="shared" si="10"/>
        <v>168.40162856830892</v>
      </c>
      <c r="D177" s="23">
        <f t="shared" si="8"/>
        <v>58.261692445041689</v>
      </c>
      <c r="E177" s="31">
        <f t="shared" si="11"/>
        <v>15685.942392135377</v>
      </c>
    </row>
    <row r="178" spans="1:5" s="19" customFormat="1" x14ac:dyDescent="0.2">
      <c r="A178" s="22">
        <v>161</v>
      </c>
      <c r="B178" s="23">
        <f t="shared" si="9"/>
        <v>226.66332101335061</v>
      </c>
      <c r="C178" s="23">
        <f t="shared" si="10"/>
        <v>169.02047245602063</v>
      </c>
      <c r="D178" s="23">
        <f t="shared" si="8"/>
        <v>57.642848557329998</v>
      </c>
      <c r="E178" s="31">
        <f t="shared" si="11"/>
        <v>15516.921919679357</v>
      </c>
    </row>
    <row r="179" spans="1:5" s="19" customFormat="1" x14ac:dyDescent="0.2">
      <c r="A179" s="22">
        <v>162</v>
      </c>
      <c r="B179" s="23">
        <f t="shared" si="9"/>
        <v>226.66332101335061</v>
      </c>
      <c r="C179" s="23">
        <f t="shared" si="10"/>
        <v>169.64159047706829</v>
      </c>
      <c r="D179" s="23">
        <f t="shared" si="8"/>
        <v>57.021730536282334</v>
      </c>
      <c r="E179" s="31">
        <f t="shared" si="11"/>
        <v>15347.280329202289</v>
      </c>
    </row>
    <row r="180" spans="1:5" s="19" customFormat="1" x14ac:dyDescent="0.2">
      <c r="A180" s="22">
        <v>163</v>
      </c>
      <c r="B180" s="23">
        <f t="shared" si="9"/>
        <v>226.66332101335061</v>
      </c>
      <c r="C180" s="23">
        <f t="shared" si="10"/>
        <v>170.26499098845846</v>
      </c>
      <c r="D180" s="23">
        <f t="shared" si="8"/>
        <v>56.398330024892147</v>
      </c>
      <c r="E180" s="31">
        <f t="shared" si="11"/>
        <v>15177.015338213831</v>
      </c>
    </row>
    <row r="181" spans="1:5" s="19" customFormat="1" x14ac:dyDescent="0.2">
      <c r="A181" s="22">
        <v>164</v>
      </c>
      <c r="B181" s="23">
        <f t="shared" si="9"/>
        <v>226.66332101335061</v>
      </c>
      <c r="C181" s="23">
        <f t="shared" si="10"/>
        <v>170.89068237790815</v>
      </c>
      <c r="D181" s="23">
        <f t="shared" si="8"/>
        <v>55.772638635442462</v>
      </c>
      <c r="E181" s="31">
        <f t="shared" si="11"/>
        <v>15006.124655835922</v>
      </c>
    </row>
    <row r="182" spans="1:5" s="19" customFormat="1" x14ac:dyDescent="0.2">
      <c r="A182" s="22">
        <v>165</v>
      </c>
      <c r="B182" s="23">
        <f t="shared" si="9"/>
        <v>226.66332101335061</v>
      </c>
      <c r="C182" s="23">
        <f t="shared" si="10"/>
        <v>171.51867306395755</v>
      </c>
      <c r="D182" s="23">
        <f t="shared" si="8"/>
        <v>55.144647949393054</v>
      </c>
      <c r="E182" s="31">
        <f t="shared" si="11"/>
        <v>14834.605982771964</v>
      </c>
    </row>
    <row r="183" spans="1:5" s="19" customFormat="1" x14ac:dyDescent="0.2">
      <c r="A183" s="22">
        <v>166</v>
      </c>
      <c r="B183" s="23">
        <f t="shared" si="9"/>
        <v>226.66332101335061</v>
      </c>
      <c r="C183" s="23">
        <f t="shared" si="10"/>
        <v>172.14897149608345</v>
      </c>
      <c r="D183" s="23">
        <f t="shared" si="8"/>
        <v>54.514349517267171</v>
      </c>
      <c r="E183" s="31">
        <f t="shared" si="11"/>
        <v>14662.457011275881</v>
      </c>
    </row>
    <row r="184" spans="1:5" s="19" customFormat="1" x14ac:dyDescent="0.2">
      <c r="A184" s="22">
        <v>167</v>
      </c>
      <c r="B184" s="23">
        <f t="shared" si="9"/>
        <v>226.66332101335061</v>
      </c>
      <c r="C184" s="23">
        <f t="shared" si="10"/>
        <v>172.78158615481277</v>
      </c>
      <c r="D184" s="23">
        <f t="shared" si="8"/>
        <v>53.881734858537833</v>
      </c>
      <c r="E184" s="31">
        <f t="shared" si="11"/>
        <v>14489.675425121068</v>
      </c>
    </row>
    <row r="185" spans="1:5" s="19" customFormat="1" x14ac:dyDescent="0.2">
      <c r="A185" s="22">
        <v>168</v>
      </c>
      <c r="B185" s="23">
        <f t="shared" si="9"/>
        <v>226.66332101335061</v>
      </c>
      <c r="C185" s="23">
        <f t="shared" si="10"/>
        <v>173.41652555183688</v>
      </c>
      <c r="D185" s="23">
        <f t="shared" si="8"/>
        <v>53.246795461513734</v>
      </c>
      <c r="E185" s="31">
        <f t="shared" si="11"/>
        <v>14316.258899569231</v>
      </c>
    </row>
    <row r="186" spans="1:5" s="19" customFormat="1" x14ac:dyDescent="0.2">
      <c r="A186" s="22">
        <v>169</v>
      </c>
      <c r="B186" s="23">
        <f t="shared" si="9"/>
        <v>226.66332101335061</v>
      </c>
      <c r="C186" s="23">
        <f t="shared" si="10"/>
        <v>174.05379823012586</v>
      </c>
      <c r="D186" s="23">
        <f t="shared" si="8"/>
        <v>52.609522783224747</v>
      </c>
      <c r="E186" s="31">
        <f t="shared" si="11"/>
        <v>14142.205101339105</v>
      </c>
    </row>
    <row r="187" spans="1:5" s="19" customFormat="1" x14ac:dyDescent="0.2">
      <c r="A187" s="22">
        <v>170</v>
      </c>
      <c r="B187" s="23">
        <f t="shared" si="9"/>
        <v>226.66332101335061</v>
      </c>
      <c r="C187" s="23">
        <f t="shared" si="10"/>
        <v>174.69341276404367</v>
      </c>
      <c r="D187" s="23">
        <f t="shared" si="8"/>
        <v>51.96990824930694</v>
      </c>
      <c r="E187" s="31">
        <f t="shared" si="11"/>
        <v>13967.511688575061</v>
      </c>
    </row>
    <row r="188" spans="1:5" s="19" customFormat="1" x14ac:dyDescent="0.2">
      <c r="A188" s="22">
        <v>171</v>
      </c>
      <c r="B188" s="23">
        <f t="shared" si="9"/>
        <v>226.66332101335061</v>
      </c>
      <c r="C188" s="23">
        <f t="shared" si="10"/>
        <v>175.33537775946337</v>
      </c>
      <c r="D188" s="23">
        <f t="shared" si="8"/>
        <v>51.327943253887234</v>
      </c>
      <c r="E188" s="31">
        <f t="shared" si="11"/>
        <v>13792.176310815597</v>
      </c>
    </row>
    <row r="189" spans="1:5" s="19" customFormat="1" x14ac:dyDescent="0.2">
      <c r="A189" s="22">
        <v>172</v>
      </c>
      <c r="B189" s="23">
        <f t="shared" si="9"/>
        <v>226.66332101335061</v>
      </c>
      <c r="C189" s="23">
        <f t="shared" si="10"/>
        <v>175.979701853883</v>
      </c>
      <c r="D189" s="23">
        <f t="shared" si="8"/>
        <v>50.683619159467611</v>
      </c>
      <c r="E189" s="31">
        <f t="shared" si="11"/>
        <v>13616.196608961714</v>
      </c>
    </row>
    <row r="190" spans="1:5" s="19" customFormat="1" x14ac:dyDescent="0.2">
      <c r="A190" s="22">
        <v>173</v>
      </c>
      <c r="B190" s="23">
        <f t="shared" si="9"/>
        <v>226.66332101335061</v>
      </c>
      <c r="C190" s="23">
        <f t="shared" si="10"/>
        <v>176.62639371654171</v>
      </c>
      <c r="D190" s="23">
        <f t="shared" si="8"/>
        <v>50.036927296808891</v>
      </c>
      <c r="E190" s="31">
        <f t="shared" si="11"/>
        <v>13439.570215245172</v>
      </c>
    </row>
    <row r="191" spans="1:5" s="19" customFormat="1" x14ac:dyDescent="0.2">
      <c r="A191" s="22">
        <v>174</v>
      </c>
      <c r="B191" s="23">
        <f t="shared" si="9"/>
        <v>226.66332101335061</v>
      </c>
      <c r="C191" s="23">
        <f t="shared" si="10"/>
        <v>177.27546204853653</v>
      </c>
      <c r="D191" s="23">
        <f t="shared" si="8"/>
        <v>49.387858964814079</v>
      </c>
      <c r="E191" s="31">
        <f t="shared" si="11"/>
        <v>13262.294753196637</v>
      </c>
    </row>
    <row r="192" spans="1:5" s="19" customFormat="1" x14ac:dyDescent="0.2">
      <c r="A192" s="22">
        <v>175</v>
      </c>
      <c r="B192" s="23">
        <f t="shared" si="9"/>
        <v>226.66332101335061</v>
      </c>
      <c r="C192" s="23">
        <f t="shared" si="10"/>
        <v>177.92691558293927</v>
      </c>
      <c r="D192" s="23">
        <f t="shared" si="8"/>
        <v>48.736405430411331</v>
      </c>
      <c r="E192" s="31">
        <f t="shared" si="11"/>
        <v>13084.367837613698</v>
      </c>
    </row>
    <row r="193" spans="1:5" s="19" customFormat="1" x14ac:dyDescent="0.2">
      <c r="A193" s="22">
        <v>176</v>
      </c>
      <c r="B193" s="23">
        <f t="shared" si="9"/>
        <v>226.66332101335061</v>
      </c>
      <c r="C193" s="23">
        <f t="shared" si="10"/>
        <v>178.5807630849142</v>
      </c>
      <c r="D193" s="23">
        <f t="shared" si="8"/>
        <v>48.082557928436415</v>
      </c>
      <c r="E193" s="31">
        <f t="shared" si="11"/>
        <v>12905.787074528784</v>
      </c>
    </row>
    <row r="194" spans="1:5" s="19" customFormat="1" x14ac:dyDescent="0.2">
      <c r="A194" s="22">
        <v>177</v>
      </c>
      <c r="B194" s="23">
        <f t="shared" si="9"/>
        <v>226.66332101335061</v>
      </c>
      <c r="C194" s="23">
        <f t="shared" si="10"/>
        <v>179.23701335183583</v>
      </c>
      <c r="D194" s="23">
        <f t="shared" si="8"/>
        <v>47.426307661514784</v>
      </c>
      <c r="E194" s="31">
        <f t="shared" si="11"/>
        <v>12726.550061176948</v>
      </c>
    </row>
    <row r="195" spans="1:5" s="19" customFormat="1" x14ac:dyDescent="0.2">
      <c r="A195" s="22">
        <v>178</v>
      </c>
      <c r="B195" s="23">
        <f t="shared" si="9"/>
        <v>226.66332101335061</v>
      </c>
      <c r="C195" s="23">
        <f t="shared" si="10"/>
        <v>179.89567521340737</v>
      </c>
      <c r="D195" s="23">
        <f t="shared" si="8"/>
        <v>46.767645799943232</v>
      </c>
      <c r="E195" s="31">
        <f t="shared" si="11"/>
        <v>12546.65438596354</v>
      </c>
    </row>
    <row r="196" spans="1:5" s="19" customFormat="1" x14ac:dyDescent="0.2">
      <c r="A196" s="22">
        <v>179</v>
      </c>
      <c r="B196" s="23">
        <f t="shared" si="9"/>
        <v>226.66332101335061</v>
      </c>
      <c r="C196" s="23">
        <f t="shared" si="10"/>
        <v>180.55675753177954</v>
      </c>
      <c r="D196" s="23">
        <f t="shared" si="8"/>
        <v>46.106563481571072</v>
      </c>
      <c r="E196" s="31">
        <f t="shared" si="11"/>
        <v>12366.09762843176</v>
      </c>
    </row>
    <row r="197" spans="1:5" s="19" customFormat="1" x14ac:dyDescent="0.2">
      <c r="A197" s="22">
        <v>180</v>
      </c>
      <c r="B197" s="23">
        <f t="shared" si="9"/>
        <v>226.66332101335061</v>
      </c>
      <c r="C197" s="23">
        <f t="shared" si="10"/>
        <v>181.22026920166974</v>
      </c>
      <c r="D197" s="23">
        <f t="shared" si="8"/>
        <v>45.443051811680888</v>
      </c>
      <c r="E197" s="31">
        <f t="shared" si="11"/>
        <v>12184.877359230091</v>
      </c>
    </row>
    <row r="198" spans="1:5" s="19" customFormat="1" x14ac:dyDescent="0.2">
      <c r="A198" s="22">
        <v>181</v>
      </c>
      <c r="B198" s="23">
        <f t="shared" si="9"/>
        <v>226.66332101335061</v>
      </c>
      <c r="C198" s="23">
        <f t="shared" si="10"/>
        <v>181.88621915048171</v>
      </c>
      <c r="D198" s="23">
        <f t="shared" si="8"/>
        <v>44.777101862868896</v>
      </c>
      <c r="E198" s="31">
        <f t="shared" si="11"/>
        <v>12002.99114007961</v>
      </c>
    </row>
    <row r="199" spans="1:5" s="19" customFormat="1" x14ac:dyDescent="0.2">
      <c r="A199" s="22">
        <v>182</v>
      </c>
      <c r="B199" s="23">
        <f t="shared" si="9"/>
        <v>226.66332101335061</v>
      </c>
      <c r="C199" s="23">
        <f t="shared" si="10"/>
        <v>182.55461633842583</v>
      </c>
      <c r="D199" s="23">
        <f t="shared" si="8"/>
        <v>44.108704674924795</v>
      </c>
      <c r="E199" s="31">
        <f t="shared" si="11"/>
        <v>11820.436523741184</v>
      </c>
    </row>
    <row r="200" spans="1:5" s="19" customFormat="1" x14ac:dyDescent="0.2">
      <c r="A200" s="22">
        <v>183</v>
      </c>
      <c r="B200" s="23">
        <f t="shared" si="9"/>
        <v>226.66332101335061</v>
      </c>
      <c r="C200" s="23">
        <f t="shared" si="10"/>
        <v>183.22546975863941</v>
      </c>
      <c r="D200" s="23">
        <f t="shared" si="8"/>
        <v>43.437851254711198</v>
      </c>
      <c r="E200" s="31">
        <f t="shared" si="11"/>
        <v>11637.211053982544</v>
      </c>
    </row>
    <row r="201" spans="1:5" s="19" customFormat="1" x14ac:dyDescent="0.2">
      <c r="A201" s="22">
        <v>184</v>
      </c>
      <c r="B201" s="23">
        <f t="shared" si="9"/>
        <v>226.66332101335061</v>
      </c>
      <c r="C201" s="23">
        <f t="shared" si="10"/>
        <v>183.89878843730793</v>
      </c>
      <c r="D201" s="23">
        <f t="shared" si="8"/>
        <v>42.764532576042697</v>
      </c>
      <c r="E201" s="31">
        <f t="shared" si="11"/>
        <v>11453.312265545237</v>
      </c>
    </row>
    <row r="202" spans="1:5" s="19" customFormat="1" x14ac:dyDescent="0.2">
      <c r="A202" s="22">
        <v>185</v>
      </c>
      <c r="B202" s="23">
        <f t="shared" si="9"/>
        <v>226.66332101335061</v>
      </c>
      <c r="C202" s="23">
        <f t="shared" si="10"/>
        <v>184.57458143378628</v>
      </c>
      <c r="D202" s="23">
        <f t="shared" si="8"/>
        <v>42.088739579564333</v>
      </c>
      <c r="E202" s="31">
        <f t="shared" si="11"/>
        <v>11268.737684111451</v>
      </c>
    </row>
    <row r="203" spans="1:5" s="19" customFormat="1" x14ac:dyDescent="0.2">
      <c r="A203" s="22">
        <v>186</v>
      </c>
      <c r="B203" s="23">
        <f t="shared" si="9"/>
        <v>226.66332101335061</v>
      </c>
      <c r="C203" s="23">
        <f t="shared" si="10"/>
        <v>185.25285784072085</v>
      </c>
      <c r="D203" s="23">
        <f t="shared" si="8"/>
        <v>41.410463172629754</v>
      </c>
      <c r="E203" s="31">
        <f t="shared" si="11"/>
        <v>11083.484826270731</v>
      </c>
    </row>
    <row r="204" spans="1:5" s="19" customFormat="1" x14ac:dyDescent="0.2">
      <c r="A204" s="22">
        <v>187</v>
      </c>
      <c r="B204" s="23">
        <f t="shared" si="9"/>
        <v>226.66332101335061</v>
      </c>
      <c r="C204" s="23">
        <f t="shared" si="10"/>
        <v>185.93362678417174</v>
      </c>
      <c r="D204" s="23">
        <f t="shared" si="8"/>
        <v>40.729694229178882</v>
      </c>
      <c r="E204" s="31">
        <f t="shared" si="11"/>
        <v>10897.551199486559</v>
      </c>
    </row>
    <row r="205" spans="1:5" s="19" customFormat="1" x14ac:dyDescent="0.2">
      <c r="A205" s="22">
        <v>188</v>
      </c>
      <c r="B205" s="23">
        <f t="shared" si="9"/>
        <v>226.66332101335061</v>
      </c>
      <c r="C205" s="23">
        <f t="shared" si="10"/>
        <v>186.61689742373551</v>
      </c>
      <c r="D205" s="23">
        <f t="shared" si="8"/>
        <v>40.046423589615095</v>
      </c>
      <c r="E205" s="31">
        <f t="shared" si="11"/>
        <v>10710.934302062824</v>
      </c>
    </row>
    <row r="206" spans="1:5" s="19" customFormat="1" x14ac:dyDescent="0.2">
      <c r="A206" s="22">
        <v>189</v>
      </c>
      <c r="B206" s="23">
        <f t="shared" si="9"/>
        <v>226.66332101335061</v>
      </c>
      <c r="C206" s="23">
        <f t="shared" si="10"/>
        <v>187.30267895266863</v>
      </c>
      <c r="D206" s="23">
        <f t="shared" si="8"/>
        <v>39.36064206068199</v>
      </c>
      <c r="E206" s="31">
        <f t="shared" si="11"/>
        <v>10523.631623110155</v>
      </c>
    </row>
    <row r="207" spans="1:5" s="19" customFormat="1" x14ac:dyDescent="0.2">
      <c r="A207" s="22">
        <v>190</v>
      </c>
      <c r="B207" s="23">
        <f t="shared" si="9"/>
        <v>226.66332101335061</v>
      </c>
      <c r="C207" s="23">
        <f t="shared" si="10"/>
        <v>187.99098059801088</v>
      </c>
      <c r="D207" s="23">
        <f t="shared" si="8"/>
        <v>38.672340415339718</v>
      </c>
      <c r="E207" s="31">
        <f t="shared" si="11"/>
        <v>10335.640642512144</v>
      </c>
    </row>
    <row r="208" spans="1:5" s="19" customFormat="1" x14ac:dyDescent="0.2">
      <c r="A208" s="22">
        <v>191</v>
      </c>
      <c r="B208" s="23">
        <f t="shared" si="9"/>
        <v>226.66332101335061</v>
      </c>
      <c r="C208" s="23">
        <f t="shared" si="10"/>
        <v>188.68181162070979</v>
      </c>
      <c r="D208" s="23">
        <f t="shared" si="8"/>
        <v>37.98150939264081</v>
      </c>
      <c r="E208" s="31">
        <f t="shared" si="11"/>
        <v>10146.958830891434</v>
      </c>
    </row>
    <row r="209" spans="1:5" s="19" customFormat="1" x14ac:dyDescent="0.2">
      <c r="A209" s="22">
        <v>192</v>
      </c>
      <c r="B209" s="23">
        <f t="shared" si="9"/>
        <v>226.66332101335061</v>
      </c>
      <c r="C209" s="23">
        <f t="shared" si="10"/>
        <v>189.37518131574504</v>
      </c>
      <c r="D209" s="23">
        <f t="shared" si="8"/>
        <v>37.288139697605565</v>
      </c>
      <c r="E209" s="31">
        <f t="shared" si="11"/>
        <v>9957.5836495756885</v>
      </c>
    </row>
    <row r="210" spans="1:5" s="19" customFormat="1" x14ac:dyDescent="0.2">
      <c r="A210" s="22">
        <v>193</v>
      </c>
      <c r="B210" s="23">
        <f t="shared" si="9"/>
        <v>226.66332101335061</v>
      </c>
      <c r="C210" s="23">
        <f t="shared" si="10"/>
        <v>190.07109901225357</v>
      </c>
      <c r="D210" s="23">
        <f t="shared" ref="D210:D273" si="12">E209*B$7</f>
        <v>36.592222001097028</v>
      </c>
      <c r="E210" s="31">
        <f t="shared" si="11"/>
        <v>9767.5125505634351</v>
      </c>
    </row>
    <row r="211" spans="1:5" s="19" customFormat="1" x14ac:dyDescent="0.2">
      <c r="A211" s="22">
        <v>194</v>
      </c>
      <c r="B211" s="23">
        <f t="shared" ref="B211:B274" si="13">B$9</f>
        <v>226.66332101335061</v>
      </c>
      <c r="C211" s="23">
        <f t="shared" ref="C211:C274" si="14">B211-D211</f>
        <v>190.76957407365518</v>
      </c>
      <c r="D211" s="23">
        <f t="shared" si="12"/>
        <v>35.89374693969544</v>
      </c>
      <c r="E211" s="31">
        <f t="shared" ref="E211:E274" si="15">E210-C211</f>
        <v>9576.7429764897806</v>
      </c>
    </row>
    <row r="212" spans="1:5" s="19" customFormat="1" x14ac:dyDescent="0.2">
      <c r="A212" s="22">
        <v>195</v>
      </c>
      <c r="B212" s="23">
        <f t="shared" si="13"/>
        <v>226.66332101335061</v>
      </c>
      <c r="C212" s="23">
        <f t="shared" si="14"/>
        <v>191.47061589777837</v>
      </c>
      <c r="D212" s="23">
        <f t="shared" si="12"/>
        <v>35.192705115572238</v>
      </c>
      <c r="E212" s="31">
        <f t="shared" si="15"/>
        <v>9385.2723605920019</v>
      </c>
    </row>
    <row r="213" spans="1:5" s="19" customFormat="1" x14ac:dyDescent="0.2">
      <c r="A213" s="22">
        <v>196</v>
      </c>
      <c r="B213" s="23">
        <f t="shared" si="13"/>
        <v>226.66332101335061</v>
      </c>
      <c r="C213" s="23">
        <f t="shared" si="14"/>
        <v>192.17423391698696</v>
      </c>
      <c r="D213" s="23">
        <f t="shared" si="12"/>
        <v>34.489087096363647</v>
      </c>
      <c r="E213" s="31">
        <f t="shared" si="15"/>
        <v>9193.098126675015</v>
      </c>
    </row>
    <row r="214" spans="1:5" s="19" customFormat="1" x14ac:dyDescent="0.2">
      <c r="A214" s="22">
        <v>197</v>
      </c>
      <c r="B214" s="23">
        <f t="shared" si="13"/>
        <v>226.66332101335061</v>
      </c>
      <c r="C214" s="23">
        <f t="shared" si="14"/>
        <v>192.88043759830686</v>
      </c>
      <c r="D214" s="23">
        <f t="shared" si="12"/>
        <v>33.782883415043756</v>
      </c>
      <c r="E214" s="31">
        <f t="shared" si="15"/>
        <v>9000.2176890767078</v>
      </c>
    </row>
    <row r="215" spans="1:5" s="19" customFormat="1" x14ac:dyDescent="0.2">
      <c r="A215" s="22">
        <v>198</v>
      </c>
      <c r="B215" s="23">
        <f t="shared" si="13"/>
        <v>226.66332101335061</v>
      </c>
      <c r="C215" s="23">
        <f t="shared" si="14"/>
        <v>193.58923644355349</v>
      </c>
      <c r="D215" s="23">
        <f t="shared" si="12"/>
        <v>33.074084569797122</v>
      </c>
      <c r="E215" s="31">
        <f t="shared" si="15"/>
        <v>8806.6284526331547</v>
      </c>
    </row>
    <row r="216" spans="1:5" s="19" customFormat="1" x14ac:dyDescent="0.2">
      <c r="A216" s="22">
        <v>199</v>
      </c>
      <c r="B216" s="23">
        <f t="shared" si="13"/>
        <v>226.66332101335061</v>
      </c>
      <c r="C216" s="23">
        <f t="shared" si="14"/>
        <v>194.30063998945965</v>
      </c>
      <c r="D216" s="23">
        <f t="shared" si="12"/>
        <v>32.362681023890957</v>
      </c>
      <c r="E216" s="31">
        <f t="shared" si="15"/>
        <v>8612.3278126436944</v>
      </c>
    </row>
    <row r="217" spans="1:5" s="19" customFormat="1" x14ac:dyDescent="0.2">
      <c r="A217" s="22">
        <v>200</v>
      </c>
      <c r="B217" s="23">
        <f t="shared" si="13"/>
        <v>226.66332101335061</v>
      </c>
      <c r="C217" s="23">
        <f t="shared" si="14"/>
        <v>195.01465780780381</v>
      </c>
      <c r="D217" s="23">
        <f t="shared" si="12"/>
        <v>31.648663205546796</v>
      </c>
      <c r="E217" s="31">
        <f t="shared" si="15"/>
        <v>8417.3131548358906</v>
      </c>
    </row>
    <row r="218" spans="1:5" s="19" customFormat="1" x14ac:dyDescent="0.2">
      <c r="A218" s="22">
        <v>201</v>
      </c>
      <c r="B218" s="23">
        <f t="shared" si="13"/>
        <v>226.66332101335061</v>
      </c>
      <c r="C218" s="23">
        <f t="shared" si="14"/>
        <v>195.73129950553891</v>
      </c>
      <c r="D218" s="23">
        <f t="shared" si="12"/>
        <v>30.932021507811701</v>
      </c>
      <c r="E218" s="31">
        <f t="shared" si="15"/>
        <v>8221.5818553303525</v>
      </c>
    </row>
    <row r="219" spans="1:5" s="19" customFormat="1" x14ac:dyDescent="0.2">
      <c r="A219" s="22">
        <v>202</v>
      </c>
      <c r="B219" s="23">
        <f t="shared" si="13"/>
        <v>226.66332101335061</v>
      </c>
      <c r="C219" s="23">
        <f t="shared" si="14"/>
        <v>196.45057472492158</v>
      </c>
      <c r="D219" s="23">
        <f t="shared" si="12"/>
        <v>30.212746288429031</v>
      </c>
      <c r="E219" s="31">
        <f t="shared" si="15"/>
        <v>8025.1312806054311</v>
      </c>
    </row>
    <row r="220" spans="1:5" s="19" customFormat="1" x14ac:dyDescent="0.2">
      <c r="A220" s="22">
        <v>203</v>
      </c>
      <c r="B220" s="23">
        <f t="shared" si="13"/>
        <v>226.66332101335061</v>
      </c>
      <c r="C220" s="23">
        <f t="shared" si="14"/>
        <v>197.17249314364193</v>
      </c>
      <c r="D220" s="23">
        <f t="shared" si="12"/>
        <v>29.490827869708667</v>
      </c>
      <c r="E220" s="31">
        <f t="shared" si="15"/>
        <v>7827.9587874617891</v>
      </c>
    </row>
    <row r="221" spans="1:5" s="19" customFormat="1" x14ac:dyDescent="0.2">
      <c r="A221" s="22">
        <v>204</v>
      </c>
      <c r="B221" s="23">
        <f t="shared" si="13"/>
        <v>226.66332101335061</v>
      </c>
      <c r="C221" s="23">
        <f t="shared" si="14"/>
        <v>197.89706447495377</v>
      </c>
      <c r="D221" s="23">
        <f t="shared" si="12"/>
        <v>28.766256538396838</v>
      </c>
      <c r="E221" s="31">
        <f t="shared" si="15"/>
        <v>7630.0617229868358</v>
      </c>
    </row>
    <row r="222" spans="1:5" s="19" customFormat="1" x14ac:dyDescent="0.2">
      <c r="A222" s="22">
        <v>205</v>
      </c>
      <c r="B222" s="23">
        <f t="shared" si="13"/>
        <v>226.66332101335061</v>
      </c>
      <c r="C222" s="23">
        <f t="shared" si="14"/>
        <v>198.62429846780518</v>
      </c>
      <c r="D222" s="23">
        <f t="shared" si="12"/>
        <v>28.039022545545425</v>
      </c>
      <c r="E222" s="31">
        <f t="shared" si="15"/>
        <v>7431.4374245190302</v>
      </c>
    </row>
    <row r="223" spans="1:5" s="19" customFormat="1" x14ac:dyDescent="0.2">
      <c r="A223" s="22">
        <v>206</v>
      </c>
      <c r="B223" s="23">
        <f t="shared" si="13"/>
        <v>226.66332101335061</v>
      </c>
      <c r="C223" s="23">
        <f t="shared" si="14"/>
        <v>199.35420490696987</v>
      </c>
      <c r="D223" s="23">
        <f t="shared" si="12"/>
        <v>27.309116106380756</v>
      </c>
      <c r="E223" s="31">
        <f t="shared" si="15"/>
        <v>7232.08321961206</v>
      </c>
    </row>
    <row r="224" spans="1:5" s="19" customFormat="1" x14ac:dyDescent="0.2">
      <c r="A224" s="22">
        <v>207</v>
      </c>
      <c r="B224" s="23">
        <f t="shared" si="13"/>
        <v>226.66332101335061</v>
      </c>
      <c r="C224" s="23">
        <f t="shared" si="14"/>
        <v>200.0867936131786</v>
      </c>
      <c r="D224" s="23">
        <f t="shared" si="12"/>
        <v>26.576527400172008</v>
      </c>
      <c r="E224" s="31">
        <f t="shared" si="15"/>
        <v>7031.996425998881</v>
      </c>
    </row>
    <row r="225" spans="1:5" s="19" customFormat="1" x14ac:dyDescent="0.2">
      <c r="A225" s="22">
        <v>208</v>
      </c>
      <c r="B225" s="23">
        <f t="shared" si="13"/>
        <v>226.66332101335061</v>
      </c>
      <c r="C225" s="23">
        <f t="shared" si="14"/>
        <v>200.82207444325158</v>
      </c>
      <c r="D225" s="23">
        <f t="shared" si="12"/>
        <v>25.841246570099031</v>
      </c>
      <c r="E225" s="31">
        <f t="shared" si="15"/>
        <v>6831.1743515556291</v>
      </c>
    </row>
    <row r="226" spans="1:5" s="19" customFormat="1" x14ac:dyDescent="0.2">
      <c r="A226" s="22">
        <v>209</v>
      </c>
      <c r="B226" s="23">
        <f t="shared" si="13"/>
        <v>226.66332101335061</v>
      </c>
      <c r="C226" s="23">
        <f t="shared" si="14"/>
        <v>201.56005729023087</v>
      </c>
      <c r="D226" s="23">
        <f t="shared" si="12"/>
        <v>25.103263723119738</v>
      </c>
      <c r="E226" s="31">
        <f t="shared" si="15"/>
        <v>6629.6142942653978</v>
      </c>
    </row>
    <row r="227" spans="1:5" s="19" customFormat="1" x14ac:dyDescent="0.2">
      <c r="A227" s="22">
        <v>210</v>
      </c>
      <c r="B227" s="23">
        <f t="shared" si="13"/>
        <v>226.66332101335061</v>
      </c>
      <c r="C227" s="23">
        <f t="shared" si="14"/>
        <v>202.3007520835136</v>
      </c>
      <c r="D227" s="23">
        <f t="shared" si="12"/>
        <v>24.362568929837007</v>
      </c>
      <c r="E227" s="31">
        <f t="shared" si="15"/>
        <v>6427.3135421818843</v>
      </c>
    </row>
    <row r="228" spans="1:5" s="19" customFormat="1" x14ac:dyDescent="0.2">
      <c r="A228" s="22">
        <v>211</v>
      </c>
      <c r="B228" s="23">
        <f t="shared" si="13"/>
        <v>226.66332101335061</v>
      </c>
      <c r="C228" s="23">
        <f t="shared" si="14"/>
        <v>203.04416878898553</v>
      </c>
      <c r="D228" s="23">
        <f t="shared" si="12"/>
        <v>23.619152224365067</v>
      </c>
      <c r="E228" s="31">
        <f t="shared" si="15"/>
        <v>6224.2693733928991</v>
      </c>
    </row>
    <row r="229" spans="1:5" s="19" customFormat="1" x14ac:dyDescent="0.2">
      <c r="A229" s="22">
        <v>212</v>
      </c>
      <c r="B229" s="23">
        <f t="shared" si="13"/>
        <v>226.66332101335061</v>
      </c>
      <c r="C229" s="23">
        <f t="shared" si="14"/>
        <v>203.79031740915519</v>
      </c>
      <c r="D229" s="23">
        <f t="shared" si="12"/>
        <v>22.873003604195418</v>
      </c>
      <c r="E229" s="31">
        <f t="shared" si="15"/>
        <v>6020.4790559837438</v>
      </c>
    </row>
    <row r="230" spans="1:5" s="19" customFormat="1" x14ac:dyDescent="0.2">
      <c r="A230" s="22">
        <v>213</v>
      </c>
      <c r="B230" s="23">
        <f t="shared" si="13"/>
        <v>226.66332101335061</v>
      </c>
      <c r="C230" s="23">
        <f t="shared" si="14"/>
        <v>204.53920798328838</v>
      </c>
      <c r="D230" s="23">
        <f t="shared" si="12"/>
        <v>22.124113030062244</v>
      </c>
      <c r="E230" s="31">
        <f t="shared" si="15"/>
        <v>5815.9398480004556</v>
      </c>
    </row>
    <row r="231" spans="1:5" s="19" customFormat="1" x14ac:dyDescent="0.2">
      <c r="A231" s="22">
        <v>214</v>
      </c>
      <c r="B231" s="23">
        <f t="shared" si="13"/>
        <v>226.66332101335061</v>
      </c>
      <c r="C231" s="23">
        <f t="shared" si="14"/>
        <v>205.29085058754328</v>
      </c>
      <c r="D231" s="23">
        <f t="shared" si="12"/>
        <v>21.372470425807347</v>
      </c>
      <c r="E231" s="31">
        <f t="shared" si="15"/>
        <v>5610.6489974129126</v>
      </c>
    </row>
    <row r="232" spans="1:5" s="19" customFormat="1" x14ac:dyDescent="0.2">
      <c r="A232" s="22">
        <v>215</v>
      </c>
      <c r="B232" s="23">
        <f t="shared" si="13"/>
        <v>226.66332101335061</v>
      </c>
      <c r="C232" s="23">
        <f t="shared" si="14"/>
        <v>206.04525533510605</v>
      </c>
      <c r="D232" s="23">
        <f t="shared" si="12"/>
        <v>20.618065678244566</v>
      </c>
      <c r="E232" s="31">
        <f t="shared" si="15"/>
        <v>5404.6037420778066</v>
      </c>
    </row>
    <row r="233" spans="1:5" s="19" customFormat="1" x14ac:dyDescent="0.2">
      <c r="A233" s="22">
        <v>216</v>
      </c>
      <c r="B233" s="23">
        <f t="shared" si="13"/>
        <v>226.66332101335061</v>
      </c>
      <c r="C233" s="23">
        <f t="shared" si="14"/>
        <v>206.80243237632689</v>
      </c>
      <c r="D233" s="23">
        <f t="shared" si="12"/>
        <v>19.860888637023709</v>
      </c>
      <c r="E233" s="31">
        <f t="shared" si="15"/>
        <v>5197.80130970148</v>
      </c>
    </row>
    <row r="234" spans="1:5" s="19" customFormat="1" x14ac:dyDescent="0.2">
      <c r="A234" s="22">
        <v>217</v>
      </c>
      <c r="B234" s="23">
        <f t="shared" si="13"/>
        <v>226.66332101335061</v>
      </c>
      <c r="C234" s="23">
        <f t="shared" si="14"/>
        <v>207.56239189885665</v>
      </c>
      <c r="D234" s="23">
        <f t="shared" si="12"/>
        <v>19.100929114493976</v>
      </c>
      <c r="E234" s="31">
        <f t="shared" si="15"/>
        <v>4990.2389178026233</v>
      </c>
    </row>
    <row r="235" spans="1:5" s="19" customFormat="1" x14ac:dyDescent="0.2">
      <c r="A235" s="22">
        <v>218</v>
      </c>
      <c r="B235" s="23">
        <f t="shared" si="13"/>
        <v>226.66332101335061</v>
      </c>
      <c r="C235" s="23">
        <f t="shared" si="14"/>
        <v>208.32514412778372</v>
      </c>
      <c r="D235" s="23">
        <f t="shared" si="12"/>
        <v>18.338176885566902</v>
      </c>
      <c r="E235" s="31">
        <f t="shared" si="15"/>
        <v>4781.9137736748398</v>
      </c>
    </row>
    <row r="236" spans="1:5" s="19" customFormat="1" x14ac:dyDescent="0.2">
      <c r="A236" s="22">
        <v>219</v>
      </c>
      <c r="B236" s="23">
        <f t="shared" si="13"/>
        <v>226.66332101335061</v>
      </c>
      <c r="C236" s="23">
        <f t="shared" si="14"/>
        <v>209.09069932577185</v>
      </c>
      <c r="D236" s="23">
        <f t="shared" si="12"/>
        <v>17.57262168757876</v>
      </c>
      <c r="E236" s="31">
        <f t="shared" si="15"/>
        <v>4572.8230743490676</v>
      </c>
    </row>
    <row r="237" spans="1:5" s="19" customFormat="1" x14ac:dyDescent="0.2">
      <c r="A237" s="22">
        <v>220</v>
      </c>
      <c r="B237" s="23">
        <f t="shared" si="13"/>
        <v>226.66332101335061</v>
      </c>
      <c r="C237" s="23">
        <f t="shared" si="14"/>
        <v>209.85906779319811</v>
      </c>
      <c r="D237" s="23">
        <f t="shared" si="12"/>
        <v>16.804253220152496</v>
      </c>
      <c r="E237" s="31">
        <f t="shared" si="15"/>
        <v>4362.9640065558697</v>
      </c>
    </row>
    <row r="238" spans="1:5" s="19" customFormat="1" x14ac:dyDescent="0.2">
      <c r="A238" s="22">
        <v>221</v>
      </c>
      <c r="B238" s="23">
        <f t="shared" si="13"/>
        <v>226.66332101335061</v>
      </c>
      <c r="C238" s="23">
        <f t="shared" si="14"/>
        <v>210.63025986829146</v>
      </c>
      <c r="D238" s="23">
        <f t="shared" si="12"/>
        <v>16.03306114505914</v>
      </c>
      <c r="E238" s="31">
        <f t="shared" si="15"/>
        <v>4152.3337466875782</v>
      </c>
    </row>
    <row r="239" spans="1:5" s="19" customFormat="1" x14ac:dyDescent="0.2">
      <c r="A239" s="22">
        <v>222</v>
      </c>
      <c r="B239" s="23">
        <f t="shared" si="13"/>
        <v>226.66332101335061</v>
      </c>
      <c r="C239" s="23">
        <f t="shared" si="14"/>
        <v>211.40428592727193</v>
      </c>
      <c r="D239" s="23">
        <f t="shared" si="12"/>
        <v>15.259035086078685</v>
      </c>
      <c r="E239" s="31">
        <f t="shared" si="15"/>
        <v>3940.9294607603065</v>
      </c>
    </row>
    <row r="240" spans="1:5" s="19" customFormat="1" x14ac:dyDescent="0.2">
      <c r="A240" s="22">
        <v>223</v>
      </c>
      <c r="B240" s="23">
        <f t="shared" si="13"/>
        <v>226.66332101335061</v>
      </c>
      <c r="C240" s="23">
        <f t="shared" si="14"/>
        <v>212.18115638449009</v>
      </c>
      <c r="D240" s="23">
        <f t="shared" si="12"/>
        <v>14.482164628860506</v>
      </c>
      <c r="E240" s="31">
        <f t="shared" si="15"/>
        <v>3728.7483043758166</v>
      </c>
    </row>
    <row r="241" spans="1:5" s="19" customFormat="1" x14ac:dyDescent="0.2">
      <c r="A241" s="22">
        <v>224</v>
      </c>
      <c r="B241" s="23">
        <f t="shared" si="13"/>
        <v>226.66332101335061</v>
      </c>
      <c r="C241" s="23">
        <f t="shared" si="14"/>
        <v>212.9608816925674</v>
      </c>
      <c r="D241" s="23">
        <f t="shared" si="12"/>
        <v>13.70243932078322</v>
      </c>
      <c r="E241" s="31">
        <f t="shared" si="15"/>
        <v>3515.7874226832491</v>
      </c>
    </row>
    <row r="242" spans="1:5" s="19" customFormat="1" x14ac:dyDescent="0.2">
      <c r="A242" s="22">
        <v>225</v>
      </c>
      <c r="B242" s="23">
        <f t="shared" si="13"/>
        <v>226.66332101335061</v>
      </c>
      <c r="C242" s="23">
        <f t="shared" si="14"/>
        <v>213.74347234253656</v>
      </c>
      <c r="D242" s="23">
        <f t="shared" si="12"/>
        <v>12.919848670814053</v>
      </c>
      <c r="E242" s="31">
        <f t="shared" si="15"/>
        <v>3302.0439503407124</v>
      </c>
    </row>
    <row r="243" spans="1:5" s="19" customFormat="1" x14ac:dyDescent="0.2">
      <c r="A243" s="22">
        <v>226</v>
      </c>
      <c r="B243" s="23">
        <f t="shared" si="13"/>
        <v>226.66332101335061</v>
      </c>
      <c r="C243" s="23">
        <f t="shared" si="14"/>
        <v>214.52893886398292</v>
      </c>
      <c r="D243" s="23">
        <f t="shared" si="12"/>
        <v>12.134382149367687</v>
      </c>
      <c r="E243" s="31">
        <f t="shared" si="15"/>
        <v>3087.5150114767293</v>
      </c>
    </row>
    <row r="244" spans="1:5" s="19" customFormat="1" x14ac:dyDescent="0.2">
      <c r="A244" s="22">
        <v>227</v>
      </c>
      <c r="B244" s="23">
        <f t="shared" si="13"/>
        <v>226.66332101335061</v>
      </c>
      <c r="C244" s="23">
        <f t="shared" si="14"/>
        <v>215.31729182518603</v>
      </c>
      <c r="D244" s="23">
        <f t="shared" si="12"/>
        <v>11.346029188164579</v>
      </c>
      <c r="E244" s="31">
        <f t="shared" si="15"/>
        <v>2872.1977196515431</v>
      </c>
    </row>
    <row r="245" spans="1:5" s="19" customFormat="1" x14ac:dyDescent="0.2">
      <c r="A245" s="22">
        <v>228</v>
      </c>
      <c r="B245" s="23">
        <f t="shared" si="13"/>
        <v>226.66332101335061</v>
      </c>
      <c r="C245" s="23">
        <f t="shared" si="14"/>
        <v>216.10854183326182</v>
      </c>
      <c r="D245" s="23">
        <f t="shared" si="12"/>
        <v>10.554779180088779</v>
      </c>
      <c r="E245" s="31">
        <f t="shared" si="15"/>
        <v>2656.0891778182813</v>
      </c>
    </row>
    <row r="246" spans="1:5" s="19" customFormat="1" x14ac:dyDescent="0.2">
      <c r="A246" s="22">
        <v>229</v>
      </c>
      <c r="B246" s="23">
        <f t="shared" si="13"/>
        <v>226.66332101335061</v>
      </c>
      <c r="C246" s="23">
        <f t="shared" si="14"/>
        <v>216.90269953430541</v>
      </c>
      <c r="D246" s="23">
        <f t="shared" si="12"/>
        <v>9.7606214790452075</v>
      </c>
      <c r="E246" s="31">
        <f t="shared" si="15"/>
        <v>2439.1864782839757</v>
      </c>
    </row>
    <row r="247" spans="1:5" s="19" customFormat="1" x14ac:dyDescent="0.2">
      <c r="A247" s="22">
        <v>230</v>
      </c>
      <c r="B247" s="23">
        <f t="shared" si="13"/>
        <v>226.66332101335061</v>
      </c>
      <c r="C247" s="23">
        <f t="shared" si="14"/>
        <v>217.6997756135342</v>
      </c>
      <c r="D247" s="23">
        <f t="shared" si="12"/>
        <v>8.9635453998164127</v>
      </c>
      <c r="E247" s="31">
        <f t="shared" si="15"/>
        <v>2221.4867026704414</v>
      </c>
    </row>
    <row r="248" spans="1:5" s="19" customFormat="1" x14ac:dyDescent="0.2">
      <c r="A248" s="22">
        <v>231</v>
      </c>
      <c r="B248" s="23">
        <f t="shared" si="13"/>
        <v>226.66332101335061</v>
      </c>
      <c r="C248" s="23">
        <f t="shared" si="14"/>
        <v>218.4997807954318</v>
      </c>
      <c r="D248" s="23">
        <f t="shared" si="12"/>
        <v>8.1635402179188024</v>
      </c>
      <c r="E248" s="31">
        <f t="shared" si="15"/>
        <v>2002.9869218750096</v>
      </c>
    </row>
    <row r="249" spans="1:5" s="19" customFormat="1" x14ac:dyDescent="0.2">
      <c r="A249" s="22">
        <v>232</v>
      </c>
      <c r="B249" s="23">
        <f t="shared" si="13"/>
        <v>226.66332101335061</v>
      </c>
      <c r="C249" s="23">
        <f t="shared" si="14"/>
        <v>219.30272584389226</v>
      </c>
      <c r="D249" s="23">
        <f t="shared" si="12"/>
        <v>7.3605951694583585</v>
      </c>
      <c r="E249" s="31">
        <f t="shared" si="15"/>
        <v>1783.6841960311174</v>
      </c>
    </row>
    <row r="250" spans="1:5" s="19" customFormat="1" x14ac:dyDescent="0.2">
      <c r="A250" s="22">
        <v>233</v>
      </c>
      <c r="B250" s="23">
        <f t="shared" si="13"/>
        <v>226.66332101335061</v>
      </c>
      <c r="C250" s="23">
        <f t="shared" si="14"/>
        <v>220.10862156236482</v>
      </c>
      <c r="D250" s="23">
        <f t="shared" si="12"/>
        <v>6.5546994509857974</v>
      </c>
      <c r="E250" s="31">
        <f t="shared" si="15"/>
        <v>1563.5755744687526</v>
      </c>
    </row>
    <row r="251" spans="1:5" s="19" customFormat="1" x14ac:dyDescent="0.2">
      <c r="A251" s="22">
        <v>234</v>
      </c>
      <c r="B251" s="23">
        <f t="shared" si="13"/>
        <v>226.66332101335061</v>
      </c>
      <c r="C251" s="23">
        <f t="shared" si="14"/>
        <v>220.91747879399938</v>
      </c>
      <c r="D251" s="23">
        <f t="shared" si="12"/>
        <v>5.7458422193512222</v>
      </c>
      <c r="E251" s="31">
        <f t="shared" si="15"/>
        <v>1342.6580956747532</v>
      </c>
    </row>
    <row r="252" spans="1:5" s="19" customFormat="1" x14ac:dyDescent="0.2">
      <c r="A252" s="22">
        <v>235</v>
      </c>
      <c r="B252" s="23">
        <f t="shared" si="13"/>
        <v>226.66332101335061</v>
      </c>
      <c r="C252" s="23">
        <f t="shared" si="14"/>
        <v>221.72930842179238</v>
      </c>
      <c r="D252" s="23">
        <f t="shared" si="12"/>
        <v>4.9340125915582247</v>
      </c>
      <c r="E252" s="31">
        <f t="shared" si="15"/>
        <v>1120.9287872529608</v>
      </c>
    </row>
    <row r="253" spans="1:5" s="19" customFormat="1" x14ac:dyDescent="0.2">
      <c r="A253" s="22">
        <v>236</v>
      </c>
      <c r="B253" s="23">
        <f t="shared" si="13"/>
        <v>226.66332101335061</v>
      </c>
      <c r="C253" s="23">
        <f t="shared" si="14"/>
        <v>222.54412136873316</v>
      </c>
      <c r="D253" s="23">
        <f t="shared" si="12"/>
        <v>4.1191996446174599</v>
      </c>
      <c r="E253" s="31">
        <f t="shared" si="15"/>
        <v>898.38466588422762</v>
      </c>
    </row>
    <row r="254" spans="1:5" s="19" customFormat="1" x14ac:dyDescent="0.2">
      <c r="A254" s="22">
        <v>237</v>
      </c>
      <c r="B254" s="23">
        <f t="shared" si="13"/>
        <v>226.66332101335061</v>
      </c>
      <c r="C254" s="23">
        <f t="shared" si="14"/>
        <v>223.36192859795094</v>
      </c>
      <c r="D254" s="23">
        <f t="shared" si="12"/>
        <v>3.3013924153996794</v>
      </c>
      <c r="E254" s="31">
        <f t="shared" si="15"/>
        <v>675.02273728627665</v>
      </c>
    </row>
    <row r="255" spans="1:5" s="19" customFormat="1" x14ac:dyDescent="0.2">
      <c r="A255" s="22">
        <v>238</v>
      </c>
      <c r="B255" s="23">
        <f t="shared" si="13"/>
        <v>226.66332101335061</v>
      </c>
      <c r="C255" s="23">
        <f t="shared" si="14"/>
        <v>224.18274111286237</v>
      </c>
      <c r="D255" s="23">
        <f t="shared" si="12"/>
        <v>2.4805799004882245</v>
      </c>
      <c r="E255" s="31">
        <f t="shared" si="15"/>
        <v>450.83999617341431</v>
      </c>
    </row>
    <row r="256" spans="1:5" s="19" customFormat="1" x14ac:dyDescent="0.2">
      <c r="A256" s="22">
        <v>239</v>
      </c>
      <c r="B256" s="23">
        <f t="shared" si="13"/>
        <v>226.66332101335061</v>
      </c>
      <c r="C256" s="23">
        <f t="shared" si="14"/>
        <v>225.00656995731964</v>
      </c>
      <c r="D256" s="23">
        <f t="shared" si="12"/>
        <v>1.6567510560309771</v>
      </c>
      <c r="E256" s="31">
        <f t="shared" si="15"/>
        <v>225.83342621609467</v>
      </c>
    </row>
    <row r="257" spans="1:5" s="19" customFormat="1" x14ac:dyDescent="0.2">
      <c r="A257" s="22">
        <v>240</v>
      </c>
      <c r="B257" s="23">
        <f t="shared" si="13"/>
        <v>226.66332101335061</v>
      </c>
      <c r="C257" s="23">
        <f t="shared" si="14"/>
        <v>225.83342621575883</v>
      </c>
      <c r="D257" s="23">
        <f t="shared" si="12"/>
        <v>0.82989479759176676</v>
      </c>
      <c r="E257" s="31">
        <f t="shared" si="15"/>
        <v>3.3583091862965375E-10</v>
      </c>
    </row>
    <row r="258" spans="1:5" s="19" customFormat="1" x14ac:dyDescent="0.2">
      <c r="A258" s="22">
        <v>241</v>
      </c>
      <c r="B258" s="23">
        <f t="shared" si="13"/>
        <v>226.66332101335061</v>
      </c>
      <c r="C258" s="23">
        <f t="shared" si="14"/>
        <v>226.66332101334939</v>
      </c>
      <c r="D258" s="23">
        <f t="shared" si="12"/>
        <v>1.2341146167375949E-12</v>
      </c>
      <c r="E258" s="31">
        <f t="shared" si="15"/>
        <v>-226.66332101301356</v>
      </c>
    </row>
    <row r="259" spans="1:5" s="19" customFormat="1" x14ac:dyDescent="0.2">
      <c r="A259" s="22">
        <v>242</v>
      </c>
      <c r="B259" s="23">
        <f t="shared" si="13"/>
        <v>226.66332101335061</v>
      </c>
      <c r="C259" s="23">
        <f t="shared" si="14"/>
        <v>227.49626551614347</v>
      </c>
      <c r="D259" s="23">
        <f t="shared" si="12"/>
        <v>-0.83294450279285792</v>
      </c>
      <c r="E259" s="31">
        <f t="shared" si="15"/>
        <v>-454.15958652915702</v>
      </c>
    </row>
    <row r="260" spans="1:5" s="19" customFormat="1" x14ac:dyDescent="0.2">
      <c r="A260" s="22">
        <v>243</v>
      </c>
      <c r="B260" s="23">
        <f t="shared" si="13"/>
        <v>226.66332101335061</v>
      </c>
      <c r="C260" s="23">
        <f t="shared" si="14"/>
        <v>228.33227093122647</v>
      </c>
      <c r="D260" s="23">
        <f t="shared" si="12"/>
        <v>-1.6689499178758598</v>
      </c>
      <c r="E260" s="31">
        <f t="shared" si="15"/>
        <v>-682.49185746038347</v>
      </c>
    </row>
    <row r="261" spans="1:5" s="19" customFormat="1" x14ac:dyDescent="0.2">
      <c r="A261" s="22">
        <v>244</v>
      </c>
      <c r="B261" s="23">
        <f t="shared" si="13"/>
        <v>226.66332101335061</v>
      </c>
      <c r="C261" s="23">
        <f t="shared" si="14"/>
        <v>229.17134850686764</v>
      </c>
      <c r="D261" s="23">
        <f t="shared" si="12"/>
        <v>-2.5080274935170248</v>
      </c>
      <c r="E261" s="31">
        <f t="shared" si="15"/>
        <v>-911.66320596725109</v>
      </c>
    </row>
    <row r="262" spans="1:5" s="19" customFormat="1" x14ac:dyDescent="0.2">
      <c r="A262" s="22">
        <v>245</v>
      </c>
      <c r="B262" s="23">
        <f t="shared" si="13"/>
        <v>226.66332101335061</v>
      </c>
      <c r="C262" s="23">
        <f t="shared" si="14"/>
        <v>230.01350953267146</v>
      </c>
      <c r="D262" s="23">
        <f t="shared" si="12"/>
        <v>-3.3501885193208518</v>
      </c>
      <c r="E262" s="31">
        <f t="shared" si="15"/>
        <v>-1141.6767154999225</v>
      </c>
    </row>
    <row r="263" spans="1:5" s="19" customFormat="1" x14ac:dyDescent="0.2">
      <c r="A263" s="22">
        <v>246</v>
      </c>
      <c r="B263" s="23">
        <f t="shared" si="13"/>
        <v>226.66332101335061</v>
      </c>
      <c r="C263" s="23">
        <f t="shared" si="14"/>
        <v>230.85876533972959</v>
      </c>
      <c r="D263" s="23">
        <f t="shared" si="12"/>
        <v>-4.1954443263789836</v>
      </c>
      <c r="E263" s="31">
        <f t="shared" si="15"/>
        <v>-1372.5354808396521</v>
      </c>
    </row>
    <row r="264" spans="1:5" s="19" customFormat="1" x14ac:dyDescent="0.2">
      <c r="A264" s="22">
        <v>247</v>
      </c>
      <c r="B264" s="23">
        <f t="shared" si="13"/>
        <v>226.66332101335061</v>
      </c>
      <c r="C264" s="23">
        <f t="shared" si="14"/>
        <v>231.70712730077327</v>
      </c>
      <c r="D264" s="23">
        <f t="shared" si="12"/>
        <v>-5.0438062874226679</v>
      </c>
      <c r="E264" s="31">
        <f t="shared" si="15"/>
        <v>-1604.2426081404253</v>
      </c>
    </row>
    <row r="265" spans="1:5" s="19" customFormat="1" x14ac:dyDescent="0.2">
      <c r="A265" s="22">
        <v>248</v>
      </c>
      <c r="B265" s="23">
        <f t="shared" si="13"/>
        <v>226.66332101335061</v>
      </c>
      <c r="C265" s="23">
        <f t="shared" si="14"/>
        <v>232.55860683032637</v>
      </c>
      <c r="D265" s="23">
        <f t="shared" si="12"/>
        <v>-5.8952858169757674</v>
      </c>
      <c r="E265" s="31">
        <f t="shared" si="15"/>
        <v>-1836.8012149707517</v>
      </c>
    </row>
    <row r="266" spans="1:5" s="19" customFormat="1" x14ac:dyDescent="0.2">
      <c r="A266" s="22">
        <v>249</v>
      </c>
      <c r="B266" s="23">
        <f t="shared" si="13"/>
        <v>226.66332101335061</v>
      </c>
      <c r="C266" s="23">
        <f t="shared" si="14"/>
        <v>233.41321538485897</v>
      </c>
      <c r="D266" s="23">
        <f t="shared" si="12"/>
        <v>-6.7498943715083488</v>
      </c>
      <c r="E266" s="31">
        <f t="shared" si="15"/>
        <v>-2070.2144303556106</v>
      </c>
    </row>
    <row r="267" spans="1:5" s="19" customFormat="1" x14ac:dyDescent="0.2">
      <c r="A267" s="22">
        <v>250</v>
      </c>
      <c r="B267" s="23">
        <f t="shared" si="13"/>
        <v>226.66332101335061</v>
      </c>
      <c r="C267" s="23">
        <f t="shared" si="14"/>
        <v>234.27096446294144</v>
      </c>
      <c r="D267" s="23">
        <f t="shared" si="12"/>
        <v>-7.6076434495908192</v>
      </c>
      <c r="E267" s="31">
        <f t="shared" si="15"/>
        <v>-2304.4853948185519</v>
      </c>
    </row>
    <row r="268" spans="1:5" s="19" customFormat="1" x14ac:dyDescent="0.2">
      <c r="A268" s="22">
        <v>251</v>
      </c>
      <c r="B268" s="23">
        <f t="shared" si="13"/>
        <v>226.66332101335061</v>
      </c>
      <c r="C268" s="23">
        <f t="shared" si="14"/>
        <v>235.13186560539924</v>
      </c>
      <c r="D268" s="23">
        <f t="shared" si="12"/>
        <v>-8.4685445920486426</v>
      </c>
      <c r="E268" s="31">
        <f t="shared" si="15"/>
        <v>-2539.6172604239509</v>
      </c>
    </row>
    <row r="269" spans="1:5" s="19" customFormat="1" x14ac:dyDescent="0.2">
      <c r="A269" s="22">
        <v>252</v>
      </c>
      <c r="B269" s="23">
        <f t="shared" si="13"/>
        <v>226.66332101335061</v>
      </c>
      <c r="C269" s="23">
        <f t="shared" si="14"/>
        <v>235.99593039546824</v>
      </c>
      <c r="D269" s="23">
        <f t="shared" si="12"/>
        <v>-9.332609382117619</v>
      </c>
      <c r="E269" s="31">
        <f t="shared" si="15"/>
        <v>-2775.6131908194193</v>
      </c>
    </row>
    <row r="270" spans="1:5" s="19" customFormat="1" x14ac:dyDescent="0.2">
      <c r="A270" s="22">
        <v>253</v>
      </c>
      <c r="B270" s="23">
        <f t="shared" si="13"/>
        <v>226.66332101335061</v>
      </c>
      <c r="C270" s="23">
        <f t="shared" si="14"/>
        <v>236.86317045895035</v>
      </c>
      <c r="D270" s="23">
        <f t="shared" si="12"/>
        <v>-10.199849445599726</v>
      </c>
      <c r="E270" s="31">
        <f t="shared" si="15"/>
        <v>-3012.4763612783695</v>
      </c>
    </row>
    <row r="271" spans="1:5" s="19" customFormat="1" x14ac:dyDescent="0.2">
      <c r="A271" s="22">
        <v>254</v>
      </c>
      <c r="B271" s="23">
        <f t="shared" si="13"/>
        <v>226.66332101335061</v>
      </c>
      <c r="C271" s="23">
        <f t="shared" si="14"/>
        <v>237.73359746437018</v>
      </c>
      <c r="D271" s="23">
        <f t="shared" si="12"/>
        <v>-11.070276451019552</v>
      </c>
      <c r="E271" s="31">
        <f t="shared" si="15"/>
        <v>-3250.2099587427397</v>
      </c>
    </row>
    <row r="272" spans="1:5" s="19" customFormat="1" x14ac:dyDescent="0.2">
      <c r="A272" s="22">
        <v>255</v>
      </c>
      <c r="B272" s="23">
        <f t="shared" si="13"/>
        <v>226.66332101335061</v>
      </c>
      <c r="C272" s="23">
        <f t="shared" si="14"/>
        <v>238.60722312313192</v>
      </c>
      <c r="D272" s="23">
        <f t="shared" si="12"/>
        <v>-11.943902109781291</v>
      </c>
      <c r="E272" s="31">
        <f t="shared" si="15"/>
        <v>-3488.8171818658716</v>
      </c>
    </row>
    <row r="273" spans="1:5" s="19" customFormat="1" x14ac:dyDescent="0.2">
      <c r="A273" s="22">
        <v>256</v>
      </c>
      <c r="B273" s="23">
        <f t="shared" si="13"/>
        <v>226.66332101335061</v>
      </c>
      <c r="C273" s="23">
        <f t="shared" si="14"/>
        <v>239.48405918967691</v>
      </c>
      <c r="D273" s="23">
        <f t="shared" si="12"/>
        <v>-12.820738176326309</v>
      </c>
      <c r="E273" s="31">
        <f t="shared" si="15"/>
        <v>-3728.3012410555484</v>
      </c>
    </row>
    <row r="274" spans="1:5" s="19" customFormat="1" x14ac:dyDescent="0.2">
      <c r="A274" s="22">
        <v>257</v>
      </c>
      <c r="B274" s="23">
        <f t="shared" si="13"/>
        <v>226.66332101335061</v>
      </c>
      <c r="C274" s="23">
        <f t="shared" si="14"/>
        <v>240.36411746164191</v>
      </c>
      <c r="D274" s="23">
        <f t="shared" ref="D274:D317" si="16">E273*B$7</f>
        <v>-13.700796448291308</v>
      </c>
      <c r="E274" s="31">
        <f t="shared" si="15"/>
        <v>-3968.6653585171903</v>
      </c>
    </row>
    <row r="275" spans="1:5" s="19" customFormat="1" x14ac:dyDescent="0.2">
      <c r="A275" s="22">
        <v>258</v>
      </c>
      <c r="B275" s="23">
        <f t="shared" ref="B275:B317" si="17">B$9</f>
        <v>226.66332101335061</v>
      </c>
      <c r="C275" s="23">
        <f t="shared" ref="C275:C317" si="18">B275-D275</f>
        <v>241.24740978001768</v>
      </c>
      <c r="D275" s="23">
        <f t="shared" si="16"/>
        <v>-14.584088766667058</v>
      </c>
      <c r="E275" s="31">
        <f t="shared" ref="E275:E317" si="19">E274-C275</f>
        <v>-4209.9127682972075</v>
      </c>
    </row>
    <row r="276" spans="1:5" s="19" customFormat="1" x14ac:dyDescent="0.2">
      <c r="A276" s="22">
        <v>259</v>
      </c>
      <c r="B276" s="23">
        <f t="shared" si="17"/>
        <v>226.66332101335061</v>
      </c>
      <c r="C276" s="23">
        <f t="shared" si="18"/>
        <v>242.13394802930833</v>
      </c>
      <c r="D276" s="23">
        <f t="shared" si="16"/>
        <v>-15.470627015957707</v>
      </c>
      <c r="E276" s="31">
        <f t="shared" si="19"/>
        <v>-4452.0467163265157</v>
      </c>
    </row>
    <row r="277" spans="1:5" s="19" customFormat="1" x14ac:dyDescent="0.2">
      <c r="A277" s="22">
        <v>260</v>
      </c>
      <c r="B277" s="23">
        <f t="shared" si="17"/>
        <v>226.66332101335061</v>
      </c>
      <c r="C277" s="23">
        <f t="shared" si="18"/>
        <v>243.0237441376913</v>
      </c>
      <c r="D277" s="23">
        <f t="shared" si="16"/>
        <v>-16.360423124340695</v>
      </c>
      <c r="E277" s="31">
        <f t="shared" si="19"/>
        <v>-4695.0704604642069</v>
      </c>
    </row>
    <row r="278" spans="1:5" s="19" customFormat="1" x14ac:dyDescent="0.2">
      <c r="A278" s="22">
        <v>261</v>
      </c>
      <c r="B278" s="23">
        <f t="shared" si="17"/>
        <v>226.66332101335061</v>
      </c>
      <c r="C278" s="23">
        <f t="shared" si="18"/>
        <v>243.91681007717784</v>
      </c>
      <c r="D278" s="23">
        <f t="shared" si="16"/>
        <v>-17.253489063827246</v>
      </c>
      <c r="E278" s="31">
        <f t="shared" si="19"/>
        <v>-4938.9872705413845</v>
      </c>
    </row>
    <row r="279" spans="1:5" s="19" customFormat="1" x14ac:dyDescent="0.2">
      <c r="A279" s="22">
        <v>262</v>
      </c>
      <c r="B279" s="23">
        <f t="shared" si="17"/>
        <v>226.66332101335061</v>
      </c>
      <c r="C279" s="23">
        <f t="shared" si="18"/>
        <v>244.81315786377405</v>
      </c>
      <c r="D279" s="23">
        <f t="shared" si="16"/>
        <v>-18.149836850423426</v>
      </c>
      <c r="E279" s="31">
        <f t="shared" si="19"/>
        <v>-5183.8004284051585</v>
      </c>
    </row>
    <row r="280" spans="1:5" s="19" customFormat="1" x14ac:dyDescent="0.2">
      <c r="A280" s="22">
        <v>263</v>
      </c>
      <c r="B280" s="23">
        <f t="shared" si="17"/>
        <v>226.66332101335061</v>
      </c>
      <c r="C280" s="23">
        <f t="shared" si="18"/>
        <v>245.71279955764246</v>
      </c>
      <c r="D280" s="23">
        <f t="shared" si="16"/>
        <v>-19.049478544291855</v>
      </c>
      <c r="E280" s="31">
        <f t="shared" si="19"/>
        <v>-5429.5132279628006</v>
      </c>
    </row>
    <row r="281" spans="1:5" s="19" customFormat="1" x14ac:dyDescent="0.2">
      <c r="A281" s="22">
        <v>264</v>
      </c>
      <c r="B281" s="23">
        <f t="shared" si="17"/>
        <v>226.66332101335061</v>
      </c>
      <c r="C281" s="23">
        <f t="shared" si="18"/>
        <v>246.61574726326455</v>
      </c>
      <c r="D281" s="23">
        <f t="shared" si="16"/>
        <v>-19.952426249913934</v>
      </c>
      <c r="E281" s="31">
        <f t="shared" si="19"/>
        <v>-5676.1289752260654</v>
      </c>
    </row>
    <row r="282" spans="1:5" s="19" customFormat="1" x14ac:dyDescent="0.2">
      <c r="A282" s="22">
        <v>265</v>
      </c>
      <c r="B282" s="23">
        <f t="shared" si="17"/>
        <v>226.66332101335061</v>
      </c>
      <c r="C282" s="23">
        <f t="shared" si="18"/>
        <v>247.52201312960335</v>
      </c>
      <c r="D282" s="23">
        <f t="shared" si="16"/>
        <v>-20.858692116252737</v>
      </c>
      <c r="E282" s="31">
        <f t="shared" si="19"/>
        <v>-5923.6509883556691</v>
      </c>
    </row>
    <row r="283" spans="1:5" s="19" customFormat="1" x14ac:dyDescent="0.2">
      <c r="A283" s="22">
        <v>266</v>
      </c>
      <c r="B283" s="23">
        <f t="shared" si="17"/>
        <v>226.66332101335061</v>
      </c>
      <c r="C283" s="23">
        <f t="shared" si="18"/>
        <v>248.43160935026708</v>
      </c>
      <c r="D283" s="23">
        <f t="shared" si="16"/>
        <v>-21.768288336916459</v>
      </c>
      <c r="E283" s="31">
        <f t="shared" si="19"/>
        <v>-6172.0825977059358</v>
      </c>
    </row>
    <row r="284" spans="1:5" s="19" customFormat="1" x14ac:dyDescent="0.2">
      <c r="A284" s="22">
        <v>267</v>
      </c>
      <c r="B284" s="23">
        <f t="shared" si="17"/>
        <v>226.66332101335061</v>
      </c>
      <c r="C284" s="23">
        <f t="shared" si="18"/>
        <v>249.3445481636731</v>
      </c>
      <c r="D284" s="23">
        <f t="shared" si="16"/>
        <v>-22.681227150322474</v>
      </c>
      <c r="E284" s="31">
        <f t="shared" si="19"/>
        <v>-6421.4271458696085</v>
      </c>
    </row>
    <row r="285" spans="1:5" s="19" customFormat="1" x14ac:dyDescent="0.2">
      <c r="A285" s="22">
        <v>268</v>
      </c>
      <c r="B285" s="23">
        <f t="shared" si="17"/>
        <v>226.66332101335061</v>
      </c>
      <c r="C285" s="23">
        <f t="shared" si="18"/>
        <v>250.26084185321264</v>
      </c>
      <c r="D285" s="23">
        <f t="shared" si="16"/>
        <v>-23.597520839862018</v>
      </c>
      <c r="E285" s="31">
        <f t="shared" si="19"/>
        <v>-6671.6879877228212</v>
      </c>
    </row>
    <row r="286" spans="1:5" s="19" customFormat="1" x14ac:dyDescent="0.2">
      <c r="A286" s="22">
        <v>269</v>
      </c>
      <c r="B286" s="23">
        <f t="shared" si="17"/>
        <v>226.66332101335061</v>
      </c>
      <c r="C286" s="23">
        <f t="shared" si="18"/>
        <v>251.18050274741606</v>
      </c>
      <c r="D286" s="23">
        <f t="shared" si="16"/>
        <v>-24.517181734065446</v>
      </c>
      <c r="E286" s="31">
        <f t="shared" si="19"/>
        <v>-6922.8684904702368</v>
      </c>
    </row>
    <row r="287" spans="1:5" s="19" customFormat="1" x14ac:dyDescent="0.2">
      <c r="A287" s="22">
        <v>270</v>
      </c>
      <c r="B287" s="23">
        <f t="shared" si="17"/>
        <v>226.66332101335061</v>
      </c>
      <c r="C287" s="23">
        <f t="shared" si="18"/>
        <v>252.10354322011872</v>
      </c>
      <c r="D287" s="23">
        <f t="shared" si="16"/>
        <v>-25.440222206768102</v>
      </c>
      <c r="E287" s="31">
        <f t="shared" si="19"/>
        <v>-7174.9720336903556</v>
      </c>
    </row>
    <row r="288" spans="1:5" s="19" customFormat="1" x14ac:dyDescent="0.2">
      <c r="A288" s="22">
        <v>271</v>
      </c>
      <c r="B288" s="23">
        <f t="shared" si="17"/>
        <v>226.66332101335061</v>
      </c>
      <c r="C288" s="23">
        <f t="shared" si="18"/>
        <v>253.02997569062745</v>
      </c>
      <c r="D288" s="23">
        <f t="shared" si="16"/>
        <v>-26.366654677276831</v>
      </c>
      <c r="E288" s="31">
        <f t="shared" si="19"/>
        <v>-7428.0020093809835</v>
      </c>
    </row>
    <row r="289" spans="1:5" s="19" customFormat="1" x14ac:dyDescent="0.2">
      <c r="A289" s="22">
        <v>272</v>
      </c>
      <c r="B289" s="23">
        <f t="shared" si="17"/>
        <v>226.66332101335061</v>
      </c>
      <c r="C289" s="23">
        <f t="shared" si="18"/>
        <v>253.95981262388767</v>
      </c>
      <c r="D289" s="23">
        <f t="shared" si="16"/>
        <v>-27.296491610537061</v>
      </c>
      <c r="E289" s="31">
        <f t="shared" si="19"/>
        <v>-7681.9618220048715</v>
      </c>
    </row>
    <row r="290" spans="1:5" s="19" customFormat="1" x14ac:dyDescent="0.2">
      <c r="A290" s="22">
        <v>273</v>
      </c>
      <c r="B290" s="23">
        <f t="shared" si="17"/>
        <v>226.66332101335061</v>
      </c>
      <c r="C290" s="23">
        <f t="shared" si="18"/>
        <v>254.89306653065111</v>
      </c>
      <c r="D290" s="23">
        <f t="shared" si="16"/>
        <v>-28.229745517300504</v>
      </c>
      <c r="E290" s="31">
        <f t="shared" si="19"/>
        <v>-7936.8548885355222</v>
      </c>
    </row>
    <row r="291" spans="1:5" s="19" customFormat="1" x14ac:dyDescent="0.2">
      <c r="A291" s="22">
        <v>274</v>
      </c>
      <c r="B291" s="23">
        <f t="shared" si="17"/>
        <v>226.66332101335061</v>
      </c>
      <c r="C291" s="23">
        <f t="shared" si="18"/>
        <v>255.82974996764412</v>
      </c>
      <c r="D291" s="23">
        <f t="shared" si="16"/>
        <v>-29.166428954293515</v>
      </c>
      <c r="E291" s="31">
        <f t="shared" si="19"/>
        <v>-8192.6846385031658</v>
      </c>
    </row>
    <row r="292" spans="1:5" s="19" customFormat="1" x14ac:dyDescent="0.2">
      <c r="A292" s="22">
        <v>275</v>
      </c>
      <c r="B292" s="23">
        <f t="shared" si="17"/>
        <v>226.66332101335061</v>
      </c>
      <c r="C292" s="23">
        <f t="shared" si="18"/>
        <v>256.76987553773665</v>
      </c>
      <c r="D292" s="23">
        <f t="shared" si="16"/>
        <v>-30.106554524386024</v>
      </c>
      <c r="E292" s="31">
        <f t="shared" si="19"/>
        <v>-8449.4545140409027</v>
      </c>
    </row>
    <row r="293" spans="1:5" s="19" customFormat="1" x14ac:dyDescent="0.2">
      <c r="A293" s="22">
        <v>276</v>
      </c>
      <c r="B293" s="23">
        <f t="shared" si="17"/>
        <v>226.66332101335061</v>
      </c>
      <c r="C293" s="23">
        <f t="shared" si="18"/>
        <v>257.71345589011173</v>
      </c>
      <c r="D293" s="23">
        <f t="shared" si="16"/>
        <v>-31.050134876761099</v>
      </c>
      <c r="E293" s="31">
        <f t="shared" si="19"/>
        <v>-8707.1679699310153</v>
      </c>
    </row>
    <row r="294" spans="1:5" s="19" customFormat="1" x14ac:dyDescent="0.2">
      <c r="A294" s="22">
        <v>277</v>
      </c>
      <c r="B294" s="23">
        <f t="shared" si="17"/>
        <v>226.66332101335061</v>
      </c>
      <c r="C294" s="23">
        <f t="shared" si="18"/>
        <v>258.66050372043577</v>
      </c>
      <c r="D294" s="23">
        <f t="shared" si="16"/>
        <v>-31.997182707085152</v>
      </c>
      <c r="E294" s="31">
        <f t="shared" si="19"/>
        <v>-8965.8284736514506</v>
      </c>
    </row>
    <row r="295" spans="1:5" s="19" customFormat="1" x14ac:dyDescent="0.2">
      <c r="A295" s="22">
        <v>278</v>
      </c>
      <c r="B295" s="23">
        <f t="shared" si="17"/>
        <v>226.66332101335061</v>
      </c>
      <c r="C295" s="23">
        <f t="shared" si="18"/>
        <v>259.61103177102933</v>
      </c>
      <c r="D295" s="23">
        <f t="shared" si="16"/>
        <v>-32.947710757678735</v>
      </c>
      <c r="E295" s="31">
        <f t="shared" si="19"/>
        <v>-9225.4395054224806</v>
      </c>
    </row>
    <row r="296" spans="1:5" s="19" customFormat="1" x14ac:dyDescent="0.2">
      <c r="A296" s="22">
        <v>279</v>
      </c>
      <c r="B296" s="23">
        <f t="shared" si="17"/>
        <v>226.66332101335061</v>
      </c>
      <c r="C296" s="23">
        <f t="shared" si="18"/>
        <v>260.56505283103866</v>
      </c>
      <c r="D296" s="23">
        <f t="shared" si="16"/>
        <v>-33.901731817688031</v>
      </c>
      <c r="E296" s="31">
        <f t="shared" si="19"/>
        <v>-9486.0045582535186</v>
      </c>
    </row>
    <row r="297" spans="1:5" s="19" customFormat="1" x14ac:dyDescent="0.2">
      <c r="A297" s="22">
        <v>280</v>
      </c>
      <c r="B297" s="23">
        <f t="shared" si="17"/>
        <v>226.66332101335061</v>
      </c>
      <c r="C297" s="23">
        <f t="shared" si="18"/>
        <v>261.52257973660744</v>
      </c>
      <c r="D297" s="23">
        <f t="shared" si="16"/>
        <v>-34.85925872325685</v>
      </c>
      <c r="E297" s="31">
        <f t="shared" si="19"/>
        <v>-9747.527137990126</v>
      </c>
    </row>
    <row r="298" spans="1:5" s="19" customFormat="1" x14ac:dyDescent="0.2">
      <c r="A298" s="22">
        <v>281</v>
      </c>
      <c r="B298" s="23">
        <f t="shared" si="17"/>
        <v>226.66332101335061</v>
      </c>
      <c r="C298" s="23">
        <f t="shared" si="18"/>
        <v>262.48362537105004</v>
      </c>
      <c r="D298" s="23">
        <f t="shared" si="16"/>
        <v>-35.820304357699435</v>
      </c>
      <c r="E298" s="31">
        <f t="shared" si="19"/>
        <v>-10010.010763361177</v>
      </c>
    </row>
    <row r="299" spans="1:5" s="19" customFormat="1" x14ac:dyDescent="0.2">
      <c r="A299" s="22">
        <v>282</v>
      </c>
      <c r="B299" s="23">
        <f t="shared" si="17"/>
        <v>226.66332101335061</v>
      </c>
      <c r="C299" s="23">
        <f t="shared" si="18"/>
        <v>263.44820266502433</v>
      </c>
      <c r="D299" s="23">
        <f t="shared" si="16"/>
        <v>-36.784881651673714</v>
      </c>
      <c r="E299" s="31">
        <f t="shared" si="19"/>
        <v>-10273.458966026201</v>
      </c>
    </row>
    <row r="300" spans="1:5" s="19" customFormat="1" x14ac:dyDescent="0.2">
      <c r="A300" s="22">
        <v>283</v>
      </c>
      <c r="B300" s="23">
        <f t="shared" si="17"/>
        <v>226.66332101335061</v>
      </c>
      <c r="C300" s="23">
        <f t="shared" si="18"/>
        <v>264.41632459670598</v>
      </c>
      <c r="D300" s="23">
        <f t="shared" si="16"/>
        <v>-37.753003583355337</v>
      </c>
      <c r="E300" s="31">
        <f t="shared" si="19"/>
        <v>-10537.875290622907</v>
      </c>
    </row>
    <row r="301" spans="1:5" s="19" customFormat="1" x14ac:dyDescent="0.2">
      <c r="A301" s="22">
        <v>284</v>
      </c>
      <c r="B301" s="23">
        <f t="shared" si="17"/>
        <v>226.66332101335061</v>
      </c>
      <c r="C301" s="23">
        <f t="shared" si="18"/>
        <v>265.38800419196286</v>
      </c>
      <c r="D301" s="23">
        <f t="shared" si="16"/>
        <v>-38.724683178612281</v>
      </c>
      <c r="E301" s="31">
        <f t="shared" si="19"/>
        <v>-10803.263294814871</v>
      </c>
    </row>
    <row r="302" spans="1:5" s="19" customFormat="1" x14ac:dyDescent="0.2">
      <c r="A302" s="22">
        <v>285</v>
      </c>
      <c r="B302" s="23">
        <f t="shared" si="17"/>
        <v>226.66332101335061</v>
      </c>
      <c r="C302" s="23">
        <f t="shared" si="18"/>
        <v>266.3632545245307</v>
      </c>
      <c r="D302" s="23">
        <f t="shared" si="16"/>
        <v>-39.699933511180085</v>
      </c>
      <c r="E302" s="31">
        <f t="shared" si="19"/>
        <v>-11069.626549339402</v>
      </c>
    </row>
    <row r="303" spans="1:5" s="19" customFormat="1" x14ac:dyDescent="0.2">
      <c r="A303" s="22">
        <v>286</v>
      </c>
      <c r="B303" s="23">
        <f t="shared" si="17"/>
        <v>226.66332101335061</v>
      </c>
      <c r="C303" s="23">
        <f t="shared" si="18"/>
        <v>267.34208871618841</v>
      </c>
      <c r="D303" s="23">
        <f t="shared" si="16"/>
        <v>-40.678767702837781</v>
      </c>
      <c r="E303" s="31">
        <f t="shared" si="19"/>
        <v>-11336.96863805559</v>
      </c>
    </row>
    <row r="304" spans="1:5" s="19" customFormat="1" x14ac:dyDescent="0.2">
      <c r="A304" s="22">
        <v>287</v>
      </c>
      <c r="B304" s="23">
        <f t="shared" si="17"/>
        <v>226.66332101335061</v>
      </c>
      <c r="C304" s="23">
        <f t="shared" si="18"/>
        <v>268.32451993693508</v>
      </c>
      <c r="D304" s="23">
        <f t="shared" si="16"/>
        <v>-41.66119892358445</v>
      </c>
      <c r="E304" s="31">
        <f t="shared" si="19"/>
        <v>-11605.293157992526</v>
      </c>
    </row>
    <row r="305" spans="1:5" s="19" customFormat="1" x14ac:dyDescent="0.2">
      <c r="A305" s="22">
        <v>288</v>
      </c>
      <c r="B305" s="23">
        <f t="shared" si="17"/>
        <v>226.66332101335061</v>
      </c>
      <c r="C305" s="23">
        <f t="shared" si="18"/>
        <v>269.31056140516705</v>
      </c>
      <c r="D305" s="23">
        <f t="shared" si="16"/>
        <v>-42.64724039181641</v>
      </c>
      <c r="E305" s="31">
        <f t="shared" si="19"/>
        <v>-11874.603719397694</v>
      </c>
    </row>
    <row r="306" spans="1:5" s="19" customFormat="1" x14ac:dyDescent="0.2">
      <c r="A306" s="22">
        <v>289</v>
      </c>
      <c r="B306" s="23">
        <f t="shared" si="17"/>
        <v>226.66332101335061</v>
      </c>
      <c r="C306" s="23">
        <f t="shared" si="18"/>
        <v>270.30022638785567</v>
      </c>
      <c r="D306" s="23">
        <f t="shared" si="16"/>
        <v>-43.636905374505048</v>
      </c>
      <c r="E306" s="31">
        <f t="shared" si="19"/>
        <v>-12144.903945785549</v>
      </c>
    </row>
    <row r="307" spans="1:5" s="19" customFormat="1" x14ac:dyDescent="0.2">
      <c r="A307" s="22">
        <v>290</v>
      </c>
      <c r="B307" s="23">
        <f t="shared" si="17"/>
        <v>226.66332101335061</v>
      </c>
      <c r="C307" s="23">
        <f t="shared" si="18"/>
        <v>271.29352820072597</v>
      </c>
      <c r="D307" s="23">
        <f t="shared" si="16"/>
        <v>-44.630207187375341</v>
      </c>
      <c r="E307" s="31">
        <f t="shared" si="19"/>
        <v>-12416.197473986274</v>
      </c>
    </row>
    <row r="308" spans="1:5" s="19" customFormat="1" x14ac:dyDescent="0.2">
      <c r="A308" s="22">
        <v>291</v>
      </c>
      <c r="B308" s="23">
        <f t="shared" si="17"/>
        <v>226.66332101335061</v>
      </c>
      <c r="C308" s="23">
        <f t="shared" si="18"/>
        <v>272.29048020843567</v>
      </c>
      <c r="D308" s="23">
        <f t="shared" si="16"/>
        <v>-45.627159195085049</v>
      </c>
      <c r="E308" s="31">
        <f t="shared" si="19"/>
        <v>-12688.48795419471</v>
      </c>
    </row>
    <row r="309" spans="1:5" s="19" customFormat="1" x14ac:dyDescent="0.2">
      <c r="A309" s="22">
        <v>292</v>
      </c>
      <c r="B309" s="23">
        <f t="shared" si="17"/>
        <v>226.66332101335061</v>
      </c>
      <c r="C309" s="23">
        <f t="shared" si="18"/>
        <v>273.29109582475508</v>
      </c>
      <c r="D309" s="23">
        <f t="shared" si="16"/>
        <v>-46.627774811404478</v>
      </c>
      <c r="E309" s="31">
        <f t="shared" si="19"/>
        <v>-12961.779050019466</v>
      </c>
    </row>
    <row r="310" spans="1:5" s="19" customFormat="1" x14ac:dyDescent="0.2">
      <c r="A310" s="22">
        <v>293</v>
      </c>
      <c r="B310" s="23">
        <f t="shared" si="17"/>
        <v>226.66332101335061</v>
      </c>
      <c r="C310" s="23">
        <f t="shared" si="18"/>
        <v>274.29538851274759</v>
      </c>
      <c r="D310" s="23">
        <f t="shared" si="16"/>
        <v>-47.632067499396975</v>
      </c>
      <c r="E310" s="31">
        <f t="shared" si="19"/>
        <v>-13236.074438532214</v>
      </c>
    </row>
    <row r="311" spans="1:5" s="19" customFormat="1" x14ac:dyDescent="0.2">
      <c r="A311" s="22">
        <v>294</v>
      </c>
      <c r="B311" s="23">
        <f t="shared" si="17"/>
        <v>226.66332101335061</v>
      </c>
      <c r="C311" s="23">
        <f t="shared" si="18"/>
        <v>275.30337178495074</v>
      </c>
      <c r="D311" s="23">
        <f t="shared" si="16"/>
        <v>-48.640050771600102</v>
      </c>
      <c r="E311" s="31">
        <f t="shared" si="19"/>
        <v>-13511.377810317164</v>
      </c>
    </row>
    <row r="312" spans="1:5" s="19" customFormat="1" x14ac:dyDescent="0.2">
      <c r="A312" s="22">
        <v>295</v>
      </c>
      <c r="B312" s="23">
        <f t="shared" si="17"/>
        <v>226.66332101335061</v>
      </c>
      <c r="C312" s="23">
        <f t="shared" si="18"/>
        <v>276.31505920355801</v>
      </c>
      <c r="D312" s="23">
        <f t="shared" si="16"/>
        <v>-49.651738190207396</v>
      </c>
      <c r="E312" s="31">
        <f t="shared" si="19"/>
        <v>-13787.692869520723</v>
      </c>
    </row>
    <row r="313" spans="1:5" s="19" customFormat="1" x14ac:dyDescent="0.2">
      <c r="A313" s="22">
        <v>296</v>
      </c>
      <c r="B313" s="23">
        <f t="shared" si="17"/>
        <v>226.66332101335061</v>
      </c>
      <c r="C313" s="23">
        <f t="shared" si="18"/>
        <v>277.33046438060148</v>
      </c>
      <c r="D313" s="23">
        <f t="shared" si="16"/>
        <v>-50.667143367250901</v>
      </c>
      <c r="E313" s="31">
        <f t="shared" si="19"/>
        <v>-14065.023333901325</v>
      </c>
    </row>
    <row r="314" spans="1:5" s="19" customFormat="1" x14ac:dyDescent="0.2">
      <c r="A314" s="22">
        <v>297</v>
      </c>
      <c r="B314" s="23">
        <f t="shared" si="17"/>
        <v>226.66332101335061</v>
      </c>
      <c r="C314" s="23">
        <f t="shared" si="18"/>
        <v>278.34960097813484</v>
      </c>
      <c r="D314" s="23">
        <f t="shared" si="16"/>
        <v>-51.686279964784255</v>
      </c>
      <c r="E314" s="31">
        <f t="shared" si="19"/>
        <v>-14343.37293487946</v>
      </c>
    </row>
    <row r="315" spans="1:5" s="19" customFormat="1" x14ac:dyDescent="0.2">
      <c r="A315" s="22">
        <v>298</v>
      </c>
      <c r="B315" s="23">
        <f t="shared" si="17"/>
        <v>226.66332101335061</v>
      </c>
      <c r="C315" s="23">
        <f t="shared" si="18"/>
        <v>279.37248270841718</v>
      </c>
      <c r="D315" s="23">
        <f t="shared" si="16"/>
        <v>-52.709161695066555</v>
      </c>
      <c r="E315" s="31">
        <f t="shared" si="19"/>
        <v>-14622.745417587877</v>
      </c>
    </row>
    <row r="316" spans="1:5" s="19" customFormat="1" x14ac:dyDescent="0.2">
      <c r="A316" s="22">
        <v>299</v>
      </c>
      <c r="B316" s="23">
        <f t="shared" si="17"/>
        <v>226.66332101335061</v>
      </c>
      <c r="C316" s="23">
        <f t="shared" si="18"/>
        <v>280.39912333409745</v>
      </c>
      <c r="D316" s="23">
        <f t="shared" si="16"/>
        <v>-53.735802320746828</v>
      </c>
      <c r="E316" s="31">
        <f t="shared" si="19"/>
        <v>-14903.144540921974</v>
      </c>
    </row>
    <row r="317" spans="1:5" s="19" customFormat="1" x14ac:dyDescent="0.2">
      <c r="A317" s="22">
        <v>300</v>
      </c>
      <c r="B317" s="23">
        <f t="shared" si="17"/>
        <v>226.66332101335061</v>
      </c>
      <c r="C317" s="23">
        <f t="shared" si="18"/>
        <v>281.42953666839981</v>
      </c>
      <c r="D317" s="23">
        <f t="shared" si="16"/>
        <v>-54.766215655049216</v>
      </c>
      <c r="E317" s="31">
        <f t="shared" si="19"/>
        <v>-15184.574077590374</v>
      </c>
    </row>
    <row r="318" spans="1:5" s="19" customFormat="1" x14ac:dyDescent="0.2">
      <c r="B318" s="20"/>
      <c r="C318" s="20"/>
      <c r="D318" s="20"/>
      <c r="E318" s="20"/>
    </row>
  </sheetData>
  <conditionalFormatting sqref="A17:A317">
    <cfRule type="expression" dxfId="4" priority="1">
      <formula>E17&lt;-0.01</formula>
    </cfRule>
  </conditionalFormatting>
  <conditionalFormatting sqref="B17:B317">
    <cfRule type="expression" dxfId="3" priority="2">
      <formula>E17&lt;-0.01</formula>
    </cfRule>
  </conditionalFormatting>
  <conditionalFormatting sqref="C17:C317">
    <cfRule type="expression" dxfId="2" priority="3">
      <formula>E17&lt;-0.01</formula>
    </cfRule>
  </conditionalFormatting>
  <conditionalFormatting sqref="D17:D317">
    <cfRule type="expression" dxfId="1" priority="4">
      <formula>E17&lt;-0.01</formula>
    </cfRule>
  </conditionalFormatting>
  <conditionalFormatting sqref="E17:E317">
    <cfRule type="expression" dxfId="0" priority="5">
      <formula>E17&lt;-0.01</formula>
    </cfRule>
  </conditionalFormatting>
  <hyperlinks>
    <hyperlink ref="H4" r:id="rId1" xr:uid="{EE6F3334-624D-4B7D-9D97-A549C8EE2190}"/>
    <hyperlink ref="H5" r:id="rId2" xr:uid="{9BCBEDF5-F0D8-4E59-9DFC-BABFA64D4E21}"/>
    <hyperlink ref="H7" r:id="rId3" xr:uid="{29062ECA-474F-4565-AA86-725D805FC82F}"/>
    <hyperlink ref="H6" r:id="rId4" xr:uid="{79479D46-D09A-458A-B5F4-1CFF52DB414F}"/>
    <hyperlink ref="H8" r:id="rId5" xr:uid="{2A70A4C9-058A-43B5-AC27-5A0F5EAD4036}"/>
    <hyperlink ref="H9" r:id="rId6" display="BNP Paribas Forts" xr:uid="{A3DAA251-97AF-4426-899A-74BEE7B655D5}"/>
    <hyperlink ref="H12" r:id="rId7" xr:uid="{719E5495-6297-4899-8574-ADA5A7E460A5}"/>
  </hyperlinks>
  <pageMargins left="0.7" right="0.7" top="0.75" bottom="0.75" header="0.3" footer="0.3"/>
  <pageSetup paperSize="9" scale="40" orientation="portrait"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b495832-ced2-46d1-8481-087649143295">
      <Terms xmlns="http://schemas.microsoft.com/office/infopath/2007/PartnerControls"/>
    </lcf76f155ced4ddcb4097134ff3c332f>
    <Jaartal xmlns="db495832-ced2-46d1-8481-087649143295" xsi:nil="true"/>
    <dossiercode xmlns="db495832-ced2-46d1-8481-087649143295" xsi:nil="true"/>
    <TaxCatchAll xmlns="80089e56-a9d8-4eab-b356-dfbdb8e15f0b" xsi:nil="true"/>
    <Volgordescan xmlns="db495832-ced2-46d1-8481-08764914329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8025B02B590F444A9070FF0E01E3BEF" ma:contentTypeVersion="19" ma:contentTypeDescription="Een nieuw document maken." ma:contentTypeScope="" ma:versionID="7e6a3cc4e9ef9ec7499befb6dc694821">
  <xsd:schema xmlns:xsd="http://www.w3.org/2001/XMLSchema" xmlns:xs="http://www.w3.org/2001/XMLSchema" xmlns:p="http://schemas.microsoft.com/office/2006/metadata/properties" xmlns:ns2="db495832-ced2-46d1-8481-087649143295" xmlns:ns3="80089e56-a9d8-4eab-b356-dfbdb8e15f0b" targetNamespace="http://schemas.microsoft.com/office/2006/metadata/properties" ma:root="true" ma:fieldsID="25d1b2888da30cfc4b02e026929f5716" ns2:_="" ns3:_="">
    <xsd:import namespace="db495832-ced2-46d1-8481-087649143295"/>
    <xsd:import namespace="80089e56-a9d8-4eab-b356-dfbdb8e15f0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Jaartal" minOccurs="0"/>
                <xsd:element ref="ns2:MediaServiceLocation" minOccurs="0"/>
                <xsd:element ref="ns2:dossiercode" minOccurs="0"/>
                <xsd:element ref="ns2:Volgordesca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495832-ced2-46d1-8481-0876491432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fbf98b99-9d14-4bb7-a80a-a68d0d5b2d35"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Jaartal" ma:index="20" nillable="true" ma:displayName="Jaartal" ma:format="Dropdown" ma:internalName="Jaartal">
      <xsd:simpleType>
        <xsd:restriction base="dms:Text">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dossiercode" ma:index="22" nillable="true" ma:displayName="dossiercode" ma:description="premiedossier van deze werken" ma:format="Dropdown" ma:internalName="dossiercode">
      <xsd:simpleType>
        <xsd:restriction base="dms:Text">
          <xsd:maxLength value="255"/>
        </xsd:restriction>
      </xsd:simpleType>
    </xsd:element>
    <xsd:element name="Volgordescan" ma:index="23" nillable="true" ma:displayName="Volgorde scan" ma:format="Dropdown" ma:internalName="Volgordescan" ma:percentage="FALSE">
      <xsd:simpleType>
        <xsd:restriction base="dms:Number"/>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089e56-a9d8-4eab-b356-dfbdb8e15f0b"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39363c8c-a62a-4ee3-a346-54ea4be1dac0}" ma:internalName="TaxCatchAll" ma:showField="CatchAllData" ma:web="80089e56-a9d8-4eab-b356-dfbdb8e15f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494E60-F638-4BEF-A19F-3224FA73374C}">
  <ds:schemaRefs>
    <ds:schemaRef ds:uri="http://schemas.microsoft.com/sharepoint/v3/contenttype/forms"/>
  </ds:schemaRefs>
</ds:datastoreItem>
</file>

<file path=customXml/itemProps2.xml><?xml version="1.0" encoding="utf-8"?>
<ds:datastoreItem xmlns:ds="http://schemas.openxmlformats.org/officeDocument/2006/customXml" ds:itemID="{FFED72D7-369C-4D39-800E-629495356E5C}">
  <ds:schemaRefs>
    <ds:schemaRef ds:uri="http://schemas.microsoft.com/office/2006/metadata/properties"/>
    <ds:schemaRef ds:uri="http://schemas.microsoft.com/office/infopath/2007/PartnerControls"/>
    <ds:schemaRef ds:uri="db495832-ced2-46d1-8481-087649143295"/>
    <ds:schemaRef ds:uri="80089e56-a9d8-4eab-b356-dfbdb8e15f0b"/>
  </ds:schemaRefs>
</ds:datastoreItem>
</file>

<file path=customXml/itemProps3.xml><?xml version="1.0" encoding="utf-8"?>
<ds:datastoreItem xmlns:ds="http://schemas.openxmlformats.org/officeDocument/2006/customXml" ds:itemID="{ADDC4F9F-5570-4454-84F8-4291515A70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495832-ced2-46d1-8481-087649143295"/>
    <ds:schemaRef ds:uri="80089e56-a9d8-4eab-b356-dfbdb8e15f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8</vt:i4>
      </vt:variant>
    </vt:vector>
  </HeadingPairs>
  <TitlesOfParts>
    <vt:vector size="16" baseType="lpstr">
      <vt:lpstr>Handleiding</vt:lpstr>
      <vt:lpstr>Quotiteiten</vt:lpstr>
      <vt:lpstr>Raming</vt:lpstr>
      <vt:lpstr>Berekening</vt:lpstr>
      <vt:lpstr>Matrix kavel</vt:lpstr>
      <vt:lpstr>Aflossing VME MVL_lening 1</vt:lpstr>
      <vt:lpstr>Aflossing VME bank_lening 2</vt:lpstr>
      <vt:lpstr>Aflossing VME bank_lening 3</vt:lpstr>
      <vt:lpstr>'Aflossing VME bank_lening 2'!Afdrukbereik</vt:lpstr>
      <vt:lpstr>'Aflossing VME bank_lening 3'!Afdrukbereik</vt:lpstr>
      <vt:lpstr>'Aflossing VME MVL_lening 1'!Afdrukbereik</vt:lpstr>
      <vt:lpstr>Berekening!Afdrukbereik</vt:lpstr>
      <vt:lpstr>Handleiding!Afdrukbereik</vt:lpstr>
      <vt:lpstr>'Matrix kavel'!Afdrukbereik</vt:lpstr>
      <vt:lpstr>Quotiteiten!Afdrukbereik</vt:lpstr>
      <vt:lpstr>Raming!Afdrukbereik</vt:lpstr>
    </vt:vector>
  </TitlesOfParts>
  <Manager/>
  <Company>Digipolis Antwerpen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Claire Verberck</cp:lastModifiedBy>
  <cp:revision/>
  <dcterms:created xsi:type="dcterms:W3CDTF">2019-09-16T10:43:00Z</dcterms:created>
  <dcterms:modified xsi:type="dcterms:W3CDTF">2025-10-09T09:23:24Z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0x010100B8025B02B590F444A9070FF0E01E3BEF</vt:lpwstr>
  </property>
  <property fmtid="{D5CDD505-2E9C-101B-9397-08002B2CF9AE}" pid="3" name="MediaServiceImageTags">
    <vt:lpwstr/>
  </property>
</Properties>
</file>