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digipolis.sharepoint.com/teams/SW_KL/Gedeelde documenten/Team Ecohuis/RMP/EXTERN/Standaard documenten/04_Financiering/"/>
    </mc:Choice>
  </mc:AlternateContent>
  <xr:revisionPtr revIDLastSave="8948" documentId="8_{82284A69-5002-4758-B6C2-A70D021003D0}" xr6:coauthVersionLast="47" xr6:coauthVersionMax="47" xr10:uidLastSave="{CC807F6F-1787-4288-A13C-71EE30E9EF82}"/>
  <bookViews>
    <workbookView xWindow="28680" yWindow="-120" windowWidth="29040" windowHeight="15720" tabRatio="678" xr2:uid="{44B9AFBD-2AC7-441A-B065-0ABAA72C7275}"/>
  </bookViews>
  <sheets>
    <sheet name="Handleiding" sheetId="76" r:id="rId1"/>
    <sheet name="Quotiteiten" sheetId="31" r:id="rId2"/>
    <sheet name="Raming" sheetId="77" r:id="rId3"/>
    <sheet name="Berekening" sheetId="33" r:id="rId4"/>
    <sheet name="Matrix kavel" sheetId="74" r:id="rId5"/>
    <sheet name="Aflossing VME MVL_lening 1" sheetId="41" r:id="rId6"/>
    <sheet name="Aflossing VME bank_lening 2" sheetId="32" r:id="rId7"/>
    <sheet name="Aflossing VME bank_lening 3" sheetId="71" r:id="rId8"/>
  </sheets>
  <definedNames>
    <definedName name="_1">#REF!</definedName>
    <definedName name="_2">#REF!</definedName>
    <definedName name="_3">#REF!</definedName>
    <definedName name="_4">#REF!</definedName>
    <definedName name="_5">#REF!</definedName>
    <definedName name="_C3A_Maître_Ouvrage.Nom_Maître_Ouvrage">#REF!</definedName>
    <definedName name="_C3A_Nom_dossier">#REF!</definedName>
    <definedName name="_C3A_Numéro_dossier">#REF!</definedName>
    <definedName name="_xlnm._FilterDatabase" localSheetId="3" hidden="1">Berekening!#REF!</definedName>
    <definedName name="_xlnm._FilterDatabase" localSheetId="1" hidden="1">Quotiteiten!$B$10:$F$30</definedName>
    <definedName name="_xlnm._FilterDatabase" localSheetId="2" hidden="1">Raming!$B$13:$L$24</definedName>
    <definedName name="_xlnm.Print_Area" localSheetId="6">'Aflossing VME bank_lening 2'!$A$1:$H$318</definedName>
    <definedName name="_xlnm.Print_Area" localSheetId="7">'Aflossing VME bank_lening 3'!$A$1:$H$318</definedName>
    <definedName name="_xlnm.Print_Area" localSheetId="5">'Aflossing VME MVL_lening 1'!$A$1:$H$317</definedName>
    <definedName name="_xlnm.Print_Area" localSheetId="3">Berekening!$A$1:$Q$25</definedName>
    <definedName name="_xlnm.Print_Area" localSheetId="0">Handleiding!$A$1:$A$28</definedName>
    <definedName name="_xlnm.Print_Area" localSheetId="4">'Matrix kavel'!$A$1:$G$30</definedName>
    <definedName name="_xlnm.Print_Area" localSheetId="1">Quotiteiten!$A$9:$G$38</definedName>
    <definedName name="_xlnm.Print_Area" localSheetId="2">Raming!$A$1:$L$35</definedName>
    <definedName name="Art_01.10.10.">#REF!</definedName>
    <definedName name="Art_01.10.20.">#REF!</definedName>
    <definedName name="Art_02.00.">#REF!</definedName>
    <definedName name="Art_02.11.">#REF!</definedName>
    <definedName name="Art_02.14.">#REF!</definedName>
    <definedName name="Art_02.21.">#REF!</definedName>
    <definedName name="Art_02.22.">#REF!</definedName>
    <definedName name="Art_02.23.10.">#REF!</definedName>
    <definedName name="Art_02.24.">#REF!</definedName>
    <definedName name="Art_02.25.">#REF!</definedName>
    <definedName name="Art_02.28.">#REF!</definedName>
    <definedName name="Art_02.30.">#REF!</definedName>
    <definedName name="Art_02.31.">#REF!</definedName>
    <definedName name="Art_02.32.">#REF!</definedName>
    <definedName name="Art_02.60.">#REF!</definedName>
    <definedName name="Art_02.63.">#REF!</definedName>
    <definedName name="Art_02.64.">#REF!</definedName>
    <definedName name="Art_02.70.">#REF!</definedName>
    <definedName name="Art_02.71.">#REF!</definedName>
    <definedName name="Art_02.72.">#REF!</definedName>
    <definedName name="Art_02.73.">#REF!</definedName>
    <definedName name="Art_02.80.">#REF!</definedName>
    <definedName name="Art_02.81.">#REF!</definedName>
    <definedName name="Art_02.81.10.">#REF!</definedName>
    <definedName name="Art_02.81.20.">#REF!</definedName>
    <definedName name="Art_02.82.">#REF!</definedName>
    <definedName name="Art_03.21.10.">#REF!</definedName>
    <definedName name="Art_03.32.20.">#REF!</definedName>
    <definedName name="Art_03.32.30.">#REF!</definedName>
    <definedName name="Art_03.32.32.">#REF!</definedName>
    <definedName name="Art_03.32.51.">#REF!</definedName>
    <definedName name="Art_03.32.70.">#REF!</definedName>
    <definedName name="Art_03.32.80.">#REF!</definedName>
    <definedName name="Art_03.32.90.">#REF!</definedName>
    <definedName name="Art_03.33.00.">#REF!</definedName>
    <definedName name="Art_03.33.20.">#REF!</definedName>
    <definedName name="Art_03.33.31.">#REF!</definedName>
    <definedName name="Art_03.33.32.">#REF!</definedName>
    <definedName name="Art_03.33.51.">#REF!</definedName>
    <definedName name="Art_03.33.60.">#REF!</definedName>
    <definedName name="Art_03.33.70.">#REF!</definedName>
    <definedName name="Art_03.41.">#REF!</definedName>
    <definedName name="Art_03.42.13.">#REF!</definedName>
    <definedName name="Art_03.43.10.">#REF!</definedName>
    <definedName name="Art_03.43.40.">#REF!</definedName>
    <definedName name="Art_03.44.20.">#REF!</definedName>
    <definedName name="Art_03.44.30.">#REF!</definedName>
    <definedName name="Art_03.44.40.">#REF!</definedName>
    <definedName name="Art_03.44.50.">#REF!</definedName>
    <definedName name="Art_03.44.60.">#REF!</definedName>
    <definedName name="Art_03.44.70.">#REF!</definedName>
    <definedName name="Art_03.46.">#REF!</definedName>
    <definedName name="Art_03.47.">#REF!</definedName>
    <definedName name="Art_03.49.">#REF!</definedName>
    <definedName name="Art_03.49.10.">#REF!</definedName>
    <definedName name="Art_03.61.">#REF!</definedName>
    <definedName name="Art_03.61.21.">#REF!</definedName>
    <definedName name="Art_03.61.22.">#REF!</definedName>
    <definedName name="Art_03.61.23.">#REF!</definedName>
    <definedName name="Art_03.71.">#REF!</definedName>
    <definedName name="Art_03.71.10.">#REF!</definedName>
    <definedName name="Art_03.72.">#REF!</definedName>
    <definedName name="Art_03.82.10.">#REF!</definedName>
    <definedName name="Art_03.82.20.">#REF!</definedName>
    <definedName name="Art_03.92.20.">#REF!</definedName>
    <definedName name="Art_14.43.">#REF!</definedName>
    <definedName name="Art_15.10.">#REF!</definedName>
    <definedName name="Art_17.24.">#REF!</definedName>
    <definedName name="Art_17.25.">#REF!</definedName>
    <definedName name="Art_20.">#REF!</definedName>
    <definedName name="Art_20.20.">#REF!</definedName>
    <definedName name="Art_20.21.">#REF!</definedName>
    <definedName name="Art_20.21.15.">#REF!</definedName>
    <definedName name="Art_20.21.30.">#REF!</definedName>
    <definedName name="Art_20.25.">#REF!</definedName>
    <definedName name="Art_20.25.10.">#REF!</definedName>
    <definedName name="Art_20.40.">#REF!</definedName>
    <definedName name="Art_20.41.">#REF!</definedName>
    <definedName name="Art_20.41.15.">#REF!</definedName>
    <definedName name="Art_20.50.">#REF!</definedName>
    <definedName name="Art_20.51.">#REF!</definedName>
    <definedName name="Art_20.51.10.">#REF!</definedName>
    <definedName name="Art_21.11.">#REF!</definedName>
    <definedName name="Art_21.11.20.">#REF!</definedName>
    <definedName name="Art_21.12.10.">#REF!</definedName>
    <definedName name="Art_21.21.10.">#REF!</definedName>
    <definedName name="Art_22.20.">#REF!</definedName>
    <definedName name="Art_22.21.">#REF!</definedName>
    <definedName name="Art_22.21.20.">#REF!</definedName>
    <definedName name="Art_22.29.">#REF!</definedName>
    <definedName name="Art_22.29.10.">#REF!</definedName>
    <definedName name="Art_22.31.">#REF!</definedName>
    <definedName name="Art_22.32.">#REF!</definedName>
    <definedName name="Art_22.34.">#REF!</definedName>
    <definedName name="Art_22.35.">#REF!</definedName>
    <definedName name="Art_23.11.">#REF!</definedName>
    <definedName name="Art_23.11.01.">#REF!</definedName>
    <definedName name="Art_23.12.">#REF!</definedName>
    <definedName name="Art_23.16.10.">#REF!</definedName>
    <definedName name="Art_23.60.">#REF!</definedName>
    <definedName name="Art_23.62.">#REF!</definedName>
    <definedName name="Art_26.12.11.">#REF!</definedName>
    <definedName name="Art_26.20.">#REF!</definedName>
    <definedName name="Art_26.26.">#REF!</definedName>
    <definedName name="Art_26.26.10.">#REF!</definedName>
    <definedName name="Art_26.34.">#REF!</definedName>
    <definedName name="Art_26.36.">#REF!</definedName>
    <definedName name="Art_26.36.10.">#REF!</definedName>
    <definedName name="Art_26.36.12.">#REF!</definedName>
    <definedName name="Art_26.36.20.">#REF!</definedName>
    <definedName name="Art_26.36.22.">#REF!</definedName>
    <definedName name="Art_26.37.10.">#REF!</definedName>
    <definedName name="Art_26.40.10.">#REF!</definedName>
    <definedName name="Art_26.40.20.">#REF!</definedName>
    <definedName name="Art_26.40.30.">#REF!</definedName>
    <definedName name="Art_26.40.50.">#REF!</definedName>
    <definedName name="Art_26.43.20.">#REF!</definedName>
    <definedName name="Art_26.47.">#REF!</definedName>
    <definedName name="Art_27.">#REF!</definedName>
    <definedName name="Art_27.30.">#REF!</definedName>
    <definedName name="Art_27.33.">#REF!</definedName>
    <definedName name="Art_34.12.30.">#REF!</definedName>
    <definedName name="Art_34.12.40.">#REF!</definedName>
    <definedName name="Art_34.16.10.">#REF!</definedName>
    <definedName name="Art_34.16.20.">#REF!</definedName>
    <definedName name="Art_34.20.">#REF!</definedName>
    <definedName name="Art_34.21.">#REF!</definedName>
    <definedName name="Art_35.11.20.">#REF!</definedName>
    <definedName name="Art_35.21.20.">#REF!</definedName>
    <definedName name="Art_35.27.">#REF!</definedName>
    <definedName name="Art_35.32.10.">#REF!</definedName>
    <definedName name="Art_35.32.31.">#REF!</definedName>
    <definedName name="Art_35.40.20.">#REF!</definedName>
    <definedName name="Art_35.40.30.">#REF!</definedName>
    <definedName name="Art_35.40.50.">#REF!</definedName>
    <definedName name="Art_35.42.">#REF!</definedName>
    <definedName name="Art_37.12.11.">#REF!</definedName>
    <definedName name="Art_37.12.14.">#REF!</definedName>
    <definedName name="Art_37.12.31.">#REF!</definedName>
    <definedName name="Art_37.12.33.">#REF!</definedName>
    <definedName name="Art_37.12.34.">#REF!</definedName>
    <definedName name="Art_37.12.35.">#REF!</definedName>
    <definedName name="Art_37.12.41.">#REF!</definedName>
    <definedName name="Art_37.20.">#REF!</definedName>
    <definedName name="Art_37.21.">#REF!</definedName>
    <definedName name="Art_37.21.20.">#REF!</definedName>
    <definedName name="Art_37.33.">#REF!</definedName>
    <definedName name="Art_38.30.">#REF!</definedName>
    <definedName name="Art_38.32.31.">#REF!</definedName>
    <definedName name="Art_38.33.">#REF!</definedName>
    <definedName name="Art_38.35.">#REF!</definedName>
    <definedName name="Art_38.51.">#REF!</definedName>
    <definedName name="Art_38.52.10.">#REF!</definedName>
    <definedName name="Art_38.53.">#REF!</definedName>
    <definedName name="Art_40.12.10.">#REF!</definedName>
    <definedName name="Art_40.12.21.">#REF!</definedName>
    <definedName name="Art_40.12.22.">#REF!</definedName>
    <definedName name="Art_40.12.23.">#REF!</definedName>
    <definedName name="Art_40.12.24.">#REF!</definedName>
    <definedName name="Art_40.12.25.">#REF!</definedName>
    <definedName name="Art_40.12.26.">#REF!</definedName>
    <definedName name="Art_40.12.27.">#REF!</definedName>
    <definedName name="Art_40.12.28.">#REF!</definedName>
    <definedName name="Art_40.12.29.">#REF!</definedName>
    <definedName name="Art_40.12.31.">#REF!</definedName>
    <definedName name="Art_40.12.32.">#REF!</definedName>
    <definedName name="Art_40.12.33.">#REF!</definedName>
    <definedName name="Art_40.12.41.">#REF!</definedName>
    <definedName name="Art_40.12.42.">#REF!</definedName>
    <definedName name="Art_40.12.60.">#REF!</definedName>
    <definedName name="Art_40.61.">#REF!</definedName>
    <definedName name="Art_40.87.10.">#REF!</definedName>
    <definedName name="Art_40.87.20.">#REF!</definedName>
    <definedName name="Art_40.87.30.">#REF!</definedName>
    <definedName name="Art_40.88.">#REF!</definedName>
    <definedName name="Art_42.21.10.">#REF!</definedName>
    <definedName name="Art_42.22.60.">#REF!</definedName>
    <definedName name="Art_42.45.">#REF!</definedName>
    <definedName name="Art_42.48.50.">#REF!</definedName>
    <definedName name="Art_42.49.41.">#REF!</definedName>
    <definedName name="Art_42.49.50.">#REF!</definedName>
    <definedName name="Art_43.10.">#REF!</definedName>
    <definedName name="Art_43.11.">#REF!</definedName>
    <definedName name="Art_43.22.11.">#REF!</definedName>
    <definedName name="Art_43.22.13.">#REF!</definedName>
    <definedName name="Art_43.22.15.">#REF!</definedName>
    <definedName name="Art_43.22.20.">#REF!</definedName>
    <definedName name="Art_43.22.40.">#REF!</definedName>
    <definedName name="Art_44.11.">#REF!</definedName>
    <definedName name="Art_44.11.10.">#REF!</definedName>
    <definedName name="Art_44.15.">#REF!</definedName>
    <definedName name="Art_44.24.">#REF!</definedName>
    <definedName name="Art_44.25.">#REF!</definedName>
    <definedName name="Art_44.27.12.">#REF!</definedName>
    <definedName name="Art_44.27.21.">#REF!</definedName>
    <definedName name="Art_44.71.10.">#REF!</definedName>
    <definedName name="Art_44.71.20.">#REF!</definedName>
    <definedName name="Art_44.71.30.">#REF!</definedName>
    <definedName name="Art_44.80.">#REF!</definedName>
    <definedName name="Art_50.11.11.">#REF!</definedName>
    <definedName name="Art_50.11.12.">#REF!</definedName>
    <definedName name="Art_50.11.32.">#REF!</definedName>
    <definedName name="Art_50.20.">#REF!</definedName>
    <definedName name="Art_50.21.">#REF!</definedName>
    <definedName name="Art_50.21.10.">#REF!</definedName>
    <definedName name="Art_50.21.11.">#REF!</definedName>
    <definedName name="Art_51.">#REF!</definedName>
    <definedName name="Art_51.20.">#REF!</definedName>
    <definedName name="Art_51.21.">#REF!</definedName>
    <definedName name="Art_51.21.10.">#REF!</definedName>
    <definedName name="Art_51.22.">#REF!</definedName>
    <definedName name="Art_51.22.10.">#REF!</definedName>
    <definedName name="Art_51.50.">#REF!</definedName>
    <definedName name="Art_51.53.">#REF!</definedName>
    <definedName name="Art_51.53.10.">#REF!</definedName>
    <definedName name="Art_52.10.">#REF!</definedName>
    <definedName name="Art_52.11.">#REF!</definedName>
    <definedName name="Art_52.40.">#REF!</definedName>
    <definedName name="Art_52.41.">#REF!</definedName>
    <definedName name="Art_52.50.">#REF!</definedName>
    <definedName name="Art_52.51.">#REF!</definedName>
    <definedName name="Art_52.73.">#REF!</definedName>
    <definedName name="Art_53.">#REF!</definedName>
    <definedName name="Art_53.10.">#REF!</definedName>
    <definedName name="Art_53.11.">#REF!</definedName>
    <definedName name="Art_53.11.20.">#REF!</definedName>
    <definedName name="Art_53.30.">#REF!</definedName>
    <definedName name="Art_53.31.">#REF!</definedName>
    <definedName name="Art_54.">#REF!</definedName>
    <definedName name="Art_54.30.">#REF!</definedName>
    <definedName name="Art_54.31.">#REF!</definedName>
    <definedName name="Art_54.40.">#REF!</definedName>
    <definedName name="Art_54.41.">#REF!</definedName>
    <definedName name="Art_55.">#REF!</definedName>
    <definedName name="Art_55.10.">#REF!</definedName>
    <definedName name="Art_55.11.">#REF!</definedName>
    <definedName name="Art_55.11.10.">#REF!</definedName>
    <definedName name="Art_55.13.">#REF!</definedName>
    <definedName name="Art_55.13.10.">#REF!</definedName>
    <definedName name="Art_56.">#REF!</definedName>
    <definedName name="Art_56.10.">#REF!</definedName>
    <definedName name="Art_57.">#REF!</definedName>
    <definedName name="Art_57.10.">#REF!</definedName>
    <definedName name="Art_57.13.">#REF!</definedName>
    <definedName name="Art_57.13.10.">#REF!</definedName>
    <definedName name="Art_60.">#REF!</definedName>
    <definedName name="Art_60.00.">#REF!</definedName>
    <definedName name="Art_61.">#REF!</definedName>
    <definedName name="Art_61.10.">#REF!</definedName>
    <definedName name="Art_61.12.">#REF!</definedName>
    <definedName name="Art_61.30.">#REF!</definedName>
    <definedName name="Art_61.31.">#REF!</definedName>
    <definedName name="Art_61.32.">#REF!</definedName>
    <definedName name="Art_61.50.">#REF!</definedName>
    <definedName name="Art_61.51.">#REF!</definedName>
    <definedName name="Art_65.">#REF!</definedName>
    <definedName name="Art_65.00.">#REF!</definedName>
    <definedName name="Art_66.">#REF!</definedName>
    <definedName name="Art_66.10.">#REF!</definedName>
    <definedName name="Art_66.14.">#REF!</definedName>
    <definedName name="Art_68.00.">#REF!</definedName>
    <definedName name="Art_68.63.">#REF!</definedName>
    <definedName name="Art_69.15.10.">#REF!</definedName>
    <definedName name="Art_69.23.">#REF!</definedName>
    <definedName name="Art_69.24.">#REF!</definedName>
    <definedName name="Art_70.">#REF!</definedName>
    <definedName name="Art_70.00.">#REF!</definedName>
    <definedName name="Art_75.">#REF!</definedName>
    <definedName name="Art_75.00.">#REF!</definedName>
    <definedName name="Art_79.11.">#REF!</definedName>
    <definedName name="Art_93.43.">#REF!</definedName>
    <definedName name="Art_99.">#REF!</definedName>
    <definedName name="Art_99.10.">#REF!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33" l="1"/>
  <c r="J6" i="33"/>
  <c r="J5" i="33"/>
  <c r="L10" i="77" a="1"/>
  <c r="L10" i="77" s="1"/>
  <c r="L9" i="77" a="1"/>
  <c r="L9" i="77" s="1"/>
  <c r="L8" i="77" a="1"/>
  <c r="L8" i="77" s="1"/>
  <c r="L7" i="77" a="1"/>
  <c r="L7" i="77" s="1"/>
  <c r="L6" i="77" a="1"/>
  <c r="L6" i="77" s="1"/>
  <c r="L5" i="77" a="1"/>
  <c r="L5" i="77" s="1"/>
  <c r="K10" i="77" a="1"/>
  <c r="K10" i="77" s="1"/>
  <c r="K9" i="77" a="1"/>
  <c r="K9" i="77" s="1"/>
  <c r="K8" i="77" a="1"/>
  <c r="K8" i="77" s="1"/>
  <c r="K7" i="77" a="1"/>
  <c r="K7" i="77" s="1"/>
  <c r="K6" i="77" a="1"/>
  <c r="K6" i="77" s="1"/>
  <c r="K5" i="77" a="1"/>
  <c r="K5" i="77" s="1"/>
  <c r="G12" i="33" s="1" a="1"/>
  <c r="G12" i="33" s="1"/>
  <c r="J10" i="77" a="1"/>
  <c r="J10" i="77" s="1"/>
  <c r="J9" i="77" a="1"/>
  <c r="J9" i="77" s="1"/>
  <c r="J8" i="77" a="1"/>
  <c r="J8" i="77" s="1"/>
  <c r="J7" i="77" a="1"/>
  <c r="J7" i="77" s="1"/>
  <c r="J6" i="77" a="1"/>
  <c r="J6" i="77" s="1"/>
  <c r="J5" i="77" a="1"/>
  <c r="J5" i="77" s="1"/>
  <c r="I10" i="77" a="1"/>
  <c r="I10" i="77" s="1"/>
  <c r="I9" i="77" a="1"/>
  <c r="I9" i="77" s="1"/>
  <c r="I8" i="77" a="1"/>
  <c r="I8" i="77" s="1"/>
  <c r="I7" i="77" a="1"/>
  <c r="I7" i="77" s="1"/>
  <c r="I6" i="77" a="1"/>
  <c r="I6" i="77" s="1"/>
  <c r="I5" i="77" a="1"/>
  <c r="I5" i="77" s="1"/>
  <c r="H10" i="77" a="1"/>
  <c r="H10" i="77" s="1"/>
  <c r="H9" i="77" a="1"/>
  <c r="H9" i="77" s="1"/>
  <c r="H8" i="77" a="1"/>
  <c r="H8" i="77" s="1"/>
  <c r="H7" i="77" a="1"/>
  <c r="H7" i="77" s="1"/>
  <c r="H6" i="77" a="1"/>
  <c r="H6" i="77" s="1"/>
  <c r="H5" i="77" a="1"/>
  <c r="H5" i="77" s="1"/>
  <c r="G10" i="77" a="1"/>
  <c r="G10" i="77" s="1"/>
  <c r="G9" i="77" a="1"/>
  <c r="G9" i="77" s="1"/>
  <c r="G8" i="77" a="1"/>
  <c r="G8" i="77" s="1"/>
  <c r="G7" i="77" a="1"/>
  <c r="G7" i="77" s="1"/>
  <c r="G6" i="77" a="1"/>
  <c r="G6" i="77" s="1"/>
  <c r="G5" i="77" a="1"/>
  <c r="G5" i="77" s="1"/>
  <c r="F10" i="77" a="1"/>
  <c r="F10" i="77" s="1"/>
  <c r="F9" i="77" a="1"/>
  <c r="F9" i="77" s="1"/>
  <c r="F8" i="77" a="1"/>
  <c r="F8" i="77" s="1"/>
  <c r="F7" i="77" a="1"/>
  <c r="F7" i="77" s="1"/>
  <c r="F6" i="77" a="1"/>
  <c r="F6" i="77" s="1"/>
  <c r="F5" i="77" a="1"/>
  <c r="F5" i="77" s="1"/>
  <c r="E10" i="77" a="1"/>
  <c r="E10" i="77" s="1"/>
  <c r="E9" i="77" a="1"/>
  <c r="E9" i="77" s="1"/>
  <c r="E8" i="77" a="1"/>
  <c r="E8" i="77" s="1"/>
  <c r="E7" i="77" a="1"/>
  <c r="E7" i="77" s="1"/>
  <c r="E6" i="77" a="1"/>
  <c r="E6" i="77" s="1"/>
  <c r="E5" i="77" a="1"/>
  <c r="E5" i="77" s="1"/>
  <c r="D5" i="77" a="1"/>
  <c r="D5" i="77" s="1"/>
  <c r="D10" i="77" a="1"/>
  <c r="D10" i="77" s="1"/>
  <c r="D9" i="77" a="1"/>
  <c r="D9" i="77" s="1"/>
  <c r="D8" i="77" a="1"/>
  <c r="D8" i="77" s="1"/>
  <c r="D7" i="77" a="1"/>
  <c r="D7" i="77" s="1"/>
  <c r="D6" i="77" a="1"/>
  <c r="D6" i="77" s="1"/>
  <c r="D16" i="33" a="1"/>
  <c r="D16" i="33" s="1"/>
  <c r="D5" i="33" a="1"/>
  <c r="D5" i="33" s="1"/>
  <c r="D6" i="33" a="1"/>
  <c r="D6" i="33" s="1"/>
  <c r="D7" i="33" a="1"/>
  <c r="D7" i="33" s="1"/>
  <c r="D8" i="33" a="1"/>
  <c r="D8" i="33" s="1"/>
  <c r="D9" i="33" a="1"/>
  <c r="D9" i="33" s="1"/>
  <c r="D10" i="33" a="1"/>
  <c r="D10" i="33" s="1"/>
  <c r="D11" i="33" a="1"/>
  <c r="D11" i="33" s="1"/>
  <c r="D12" i="33" a="1"/>
  <c r="D12" i="33" s="1"/>
  <c r="D13" i="33" a="1"/>
  <c r="D13" i="33" s="1"/>
  <c r="G7" i="33" l="1" a="1"/>
  <c r="G7" i="33" s="1"/>
  <c r="G5" i="33" a="1"/>
  <c r="G5" i="33" s="1"/>
  <c r="G6" i="33" a="1"/>
  <c r="G6" i="33" s="1"/>
  <c r="F11" i="33"/>
  <c r="D23" i="33" a="1"/>
  <c r="D23" i="33" s="1"/>
  <c r="C5" i="31"/>
  <c r="D22" i="33" a="1"/>
  <c r="D22" i="33" s="1"/>
  <c r="F22" i="33" s="1"/>
  <c r="F20" i="31" l="1"/>
  <c r="F21" i="31"/>
  <c r="F22" i="31"/>
  <c r="F23" i="31"/>
  <c r="F24" i="31"/>
  <c r="F25" i="31"/>
  <c r="F26" i="31"/>
  <c r="G9" i="33" l="1" a="1"/>
  <c r="G9" i="33" s="1"/>
  <c r="G11" i="33" a="1"/>
  <c r="G11" i="33" s="1"/>
  <c r="G13" i="33" a="1"/>
  <c r="G13" i="33" s="1"/>
  <c r="G8" i="33" a="1"/>
  <c r="G8" i="33" s="1"/>
  <c r="D21" i="33" a="1"/>
  <c r="D21" i="33" s="1"/>
  <c r="D20" i="33" a="1"/>
  <c r="D20" i="33" s="1"/>
  <c r="D14" i="33" a="1"/>
  <c r="D14" i="33" s="1"/>
  <c r="D15" i="33" a="1"/>
  <c r="D15" i="33" s="1"/>
  <c r="D17" i="33" a="1"/>
  <c r="D17" i="33" s="1"/>
  <c r="D18" i="33" a="1"/>
  <c r="D18" i="33" s="1"/>
  <c r="I6" i="33" l="1"/>
  <c r="C10" i="77"/>
  <c r="C9" i="77"/>
  <c r="C8" i="77"/>
  <c r="C7" i="77"/>
  <c r="C6" i="77"/>
  <c r="C5" i="77"/>
  <c r="F12" i="31" l="1"/>
  <c r="F13" i="31"/>
  <c r="F14" i="31"/>
  <c r="F17" i="31"/>
  <c r="F18" i="31"/>
  <c r="F19" i="31"/>
  <c r="F27" i="31"/>
  <c r="F28" i="31"/>
  <c r="F29" i="31"/>
  <c r="F30" i="31"/>
  <c r="F6" i="33"/>
  <c r="F7" i="33"/>
  <c r="F8" i="33"/>
  <c r="F9" i="33"/>
  <c r="G10" i="33" l="1" a="1"/>
  <c r="G10" i="33" s="1"/>
  <c r="F13" i="33"/>
  <c r="I5" i="33"/>
  <c r="E4" i="31" l="1" a="1"/>
  <c r="E4" i="31" s="1"/>
  <c r="B3" i="74" s="1"/>
  <c r="I12" i="33"/>
  <c r="I8" i="33"/>
  <c r="E5" i="31" a="1"/>
  <c r="E5" i="31" s="1"/>
  <c r="I10" i="33"/>
  <c r="N2" i="33" l="1"/>
  <c r="J2" i="33"/>
  <c r="Q1" i="33"/>
  <c r="F21" i="33" l="1"/>
  <c r="F23" i="33"/>
  <c r="F20" i="33"/>
  <c r="F18" i="33"/>
  <c r="D4" i="33" l="1"/>
  <c r="B12" i="74"/>
  <c r="B11" i="74"/>
  <c r="B8" i="74"/>
  <c r="B9" i="74"/>
  <c r="F10" i="33"/>
  <c r="F12" i="33"/>
  <c r="F14" i="33"/>
  <c r="F15" i="33"/>
  <c r="F16" i="33"/>
  <c r="F17" i="33"/>
  <c r="F5" i="33"/>
  <c r="D54" i="33" l="1"/>
  <c r="F4" i="33"/>
  <c r="C4" i="31"/>
  <c r="C6" i="31" s="1"/>
  <c r="I16" i="33" l="1"/>
  <c r="I17" i="33"/>
  <c r="D51" i="33"/>
  <c r="D50" i="33"/>
  <c r="D49" i="33"/>
  <c r="B34" i="33" l="1"/>
  <c r="C28" i="33"/>
  <c r="F11" i="31"/>
  <c r="F15" i="31"/>
  <c r="F16" i="31"/>
  <c r="D4" i="31"/>
  <c r="D6" i="31" l="1"/>
  <c r="D5" i="31"/>
  <c r="L43" i="33"/>
  <c r="C45" i="33"/>
  <c r="C43" i="33"/>
  <c r="B7" i="71"/>
  <c r="B7" i="32"/>
  <c r="B7" i="41"/>
  <c r="B5" i="71" l="1"/>
  <c r="D45" i="33" s="1"/>
  <c r="I24" i="33" l="1"/>
  <c r="C31" i="33" l="1"/>
  <c r="C40" i="33" l="1"/>
  <c r="D19" i="33" l="1"/>
  <c r="F19" i="33" s="1"/>
  <c r="B5" i="32"/>
  <c r="D43" i="33" s="1"/>
  <c r="N43" i="33"/>
  <c r="J43" i="33" l="1"/>
  <c r="D24" i="33"/>
  <c r="K7" i="33" l="1"/>
  <c r="K6" i="33"/>
  <c r="N5" i="33"/>
  <c r="K12" i="33"/>
  <c r="K15" i="33"/>
  <c r="K11" i="33"/>
  <c r="K13" i="33"/>
  <c r="K16" i="33"/>
  <c r="K18" i="33"/>
  <c r="K9" i="33"/>
  <c r="K10" i="33"/>
  <c r="K14" i="33"/>
  <c r="K17" i="33"/>
  <c r="K8" i="33"/>
  <c r="K5" i="33"/>
  <c r="L46" i="33"/>
  <c r="J17" i="33"/>
  <c r="J16" i="33"/>
  <c r="J10" i="33"/>
  <c r="J12" i="33"/>
  <c r="N12" i="33" s="1"/>
  <c r="F24" i="33"/>
  <c r="Q5" i="33" l="1"/>
  <c r="M5" i="33" s="1"/>
  <c r="Q10" i="33"/>
  <c r="M10" i="33" s="1"/>
  <c r="P10" i="33"/>
  <c r="L10" i="33" s="1"/>
  <c r="P8" i="33"/>
  <c r="L8" i="33" s="1"/>
  <c r="Q8" i="33"/>
  <c r="M8" i="33" s="1"/>
  <c r="P5" i="33"/>
  <c r="L5" i="33" s="1"/>
  <c r="L45" i="33"/>
  <c r="C27" i="33"/>
  <c r="P14" i="33"/>
  <c r="Q14" i="33"/>
  <c r="Q15" i="33"/>
  <c r="P15" i="33"/>
  <c r="Q12" i="33"/>
  <c r="M12" i="33" s="1"/>
  <c r="P12" i="33"/>
  <c r="L12" i="33" s="1"/>
  <c r="J24" i="33"/>
  <c r="K24" i="33"/>
  <c r="O5" i="33"/>
  <c r="N10" i="33"/>
  <c r="O10" i="33" s="1"/>
  <c r="O12" i="33"/>
  <c r="N8" i="33"/>
  <c r="D55" i="33"/>
  <c r="C29" i="33" s="1"/>
  <c r="G54" i="33"/>
  <c r="D28" i="33" s="1"/>
  <c r="E24" i="33"/>
  <c r="N24" i="33" l="1"/>
  <c r="G18" i="74" s="1"/>
  <c r="P24" i="33"/>
  <c r="G20" i="74" s="1"/>
  <c r="O8" i="33"/>
  <c r="O24" i="33" s="1"/>
  <c r="G19" i="74" s="1"/>
  <c r="D22" i="74"/>
  <c r="C22" i="74"/>
  <c r="E22" i="74"/>
  <c r="F22" i="74"/>
  <c r="C5" i="74"/>
  <c r="C14" i="74" s="1"/>
  <c r="C18" i="74"/>
  <c r="E45" i="33"/>
  <c r="G55" i="33"/>
  <c r="D29" i="33" s="1"/>
  <c r="C25" i="74" l="1"/>
  <c r="C20" i="74"/>
  <c r="C19" i="74"/>
  <c r="C26" i="74" s="1"/>
  <c r="C27" i="74"/>
  <c r="B4" i="71"/>
  <c r="E11" i="71" s="1"/>
  <c r="E46" i="33" l="1"/>
  <c r="G46" i="33" s="1"/>
  <c r="E8" i="71"/>
  <c r="E9" i="71" s="1"/>
  <c r="E5" i="71"/>
  <c r="E6" i="71" s="1"/>
  <c r="E17" i="71"/>
  <c r="D18" i="71" s="1"/>
  <c r="B13" i="71"/>
  <c r="B9" i="71"/>
  <c r="B12" i="71" s="1"/>
  <c r="E40" i="33"/>
  <c r="F15" i="74" l="1"/>
  <c r="B14" i="71"/>
  <c r="B4" i="41"/>
  <c r="E11" i="41" s="1"/>
  <c r="B269" i="71"/>
  <c r="B230" i="71"/>
  <c r="B69" i="71"/>
  <c r="B151" i="71"/>
  <c r="B247" i="71"/>
  <c r="B288" i="71"/>
  <c r="B185" i="71"/>
  <c r="B281" i="71"/>
  <c r="B153" i="71"/>
  <c r="B117" i="71"/>
  <c r="B85" i="71"/>
  <c r="B63" i="71"/>
  <c r="B200" i="71"/>
  <c r="B193" i="71"/>
  <c r="B114" i="71"/>
  <c r="B285" i="71"/>
  <c r="B109" i="71"/>
  <c r="B167" i="71"/>
  <c r="B304" i="71"/>
  <c r="B97" i="71"/>
  <c r="B158" i="71"/>
  <c r="B79" i="71"/>
  <c r="B216" i="71"/>
  <c r="B305" i="71"/>
  <c r="B212" i="71"/>
  <c r="B301" i="71"/>
  <c r="B141" i="71"/>
  <c r="B279" i="71"/>
  <c r="B217" i="71"/>
  <c r="B220" i="71"/>
  <c r="B173" i="71"/>
  <c r="B270" i="71"/>
  <c r="B95" i="71"/>
  <c r="B287" i="71"/>
  <c r="B48" i="71"/>
  <c r="B61" i="71"/>
  <c r="B228" i="71"/>
  <c r="B182" i="71"/>
  <c r="B103" i="71"/>
  <c r="B144" i="71"/>
  <c r="B268" i="71"/>
  <c r="B205" i="71"/>
  <c r="B286" i="71"/>
  <c r="B102" i="71"/>
  <c r="B303" i="71"/>
  <c r="B89" i="71"/>
  <c r="B276" i="71"/>
  <c r="B28" i="71"/>
  <c r="B221" i="71"/>
  <c r="B94" i="71"/>
  <c r="B198" i="71"/>
  <c r="B294" i="71"/>
  <c r="B213" i="71"/>
  <c r="B23" i="71"/>
  <c r="B119" i="71"/>
  <c r="B215" i="71"/>
  <c r="B311" i="71"/>
  <c r="B160" i="71"/>
  <c r="B256" i="71"/>
  <c r="B113" i="71"/>
  <c r="B249" i="71"/>
  <c r="B80" i="71"/>
  <c r="B18" i="71"/>
  <c r="C18" i="71" s="1"/>
  <c r="E18" i="71" s="1"/>
  <c r="D19" i="71" s="1"/>
  <c r="B250" i="71"/>
  <c r="B142" i="71"/>
  <c r="B22" i="71"/>
  <c r="B159" i="71"/>
  <c r="B296" i="71"/>
  <c r="B27" i="71"/>
  <c r="B150" i="71"/>
  <c r="B38" i="71"/>
  <c r="B263" i="71"/>
  <c r="B201" i="71"/>
  <c r="B67" i="71"/>
  <c r="B293" i="71"/>
  <c r="B46" i="71"/>
  <c r="B120" i="71"/>
  <c r="B174" i="71"/>
  <c r="B70" i="71"/>
  <c r="B191" i="71"/>
  <c r="B232" i="71"/>
  <c r="B225" i="71"/>
  <c r="B178" i="71"/>
  <c r="B189" i="71"/>
  <c r="B278" i="71"/>
  <c r="B199" i="71"/>
  <c r="B41" i="71"/>
  <c r="B145" i="71"/>
  <c r="B10" i="71"/>
  <c r="B78" i="71"/>
  <c r="B197" i="71"/>
  <c r="B207" i="71"/>
  <c r="B248" i="71"/>
  <c r="B241" i="71"/>
  <c r="B242" i="71"/>
  <c r="B53" i="71"/>
  <c r="B237" i="71"/>
  <c r="B110" i="71"/>
  <c r="B206" i="71"/>
  <c r="B302" i="71"/>
  <c r="B229" i="71"/>
  <c r="B31" i="71"/>
  <c r="B127" i="71"/>
  <c r="B223" i="71"/>
  <c r="B20" i="71"/>
  <c r="B168" i="71"/>
  <c r="B264" i="71"/>
  <c r="B137" i="71"/>
  <c r="B257" i="71"/>
  <c r="B96" i="71"/>
  <c r="B58" i="71"/>
  <c r="B258" i="71"/>
  <c r="B101" i="71"/>
  <c r="B64" i="71"/>
  <c r="B65" i="71"/>
  <c r="B238" i="71"/>
  <c r="B88" i="71"/>
  <c r="B73" i="71"/>
  <c r="B133" i="71"/>
  <c r="B71" i="71"/>
  <c r="B208" i="71"/>
  <c r="B297" i="71"/>
  <c r="B149" i="71"/>
  <c r="B125" i="71"/>
  <c r="B271" i="71"/>
  <c r="B209" i="71"/>
  <c r="B105" i="71"/>
  <c r="B166" i="71"/>
  <c r="B87" i="71"/>
  <c r="B224" i="71"/>
  <c r="B162" i="71"/>
  <c r="B30" i="71"/>
  <c r="F45" i="33"/>
  <c r="G45" i="33" s="1"/>
  <c r="B181" i="71"/>
  <c r="B240" i="71"/>
  <c r="B210" i="71"/>
  <c r="B111" i="71"/>
  <c r="B177" i="71"/>
  <c r="B77" i="71"/>
  <c r="B245" i="71"/>
  <c r="B118" i="71"/>
  <c r="B214" i="71"/>
  <c r="B310" i="71"/>
  <c r="B253" i="71"/>
  <c r="B39" i="71"/>
  <c r="B135" i="71"/>
  <c r="B231" i="71"/>
  <c r="B29" i="71"/>
  <c r="B176" i="71"/>
  <c r="B272" i="71"/>
  <c r="B161" i="71"/>
  <c r="B265" i="71"/>
  <c r="B33" i="71"/>
  <c r="B90" i="71"/>
  <c r="B266" i="71"/>
  <c r="B134" i="71"/>
  <c r="B55" i="71"/>
  <c r="B192" i="71"/>
  <c r="B106" i="71"/>
  <c r="B277" i="71"/>
  <c r="B255" i="71"/>
  <c r="B289" i="71"/>
  <c r="B246" i="71"/>
  <c r="B104" i="71"/>
  <c r="B146" i="71"/>
  <c r="B254" i="71"/>
  <c r="B175" i="71"/>
  <c r="B312" i="71"/>
  <c r="B154" i="71"/>
  <c r="B157" i="71"/>
  <c r="B262" i="71"/>
  <c r="B62" i="71"/>
  <c r="B183" i="71"/>
  <c r="B128" i="71"/>
  <c r="B37" i="71"/>
  <c r="B313" i="71"/>
  <c r="B121" i="71"/>
  <c r="B165" i="71"/>
  <c r="B136" i="71"/>
  <c r="B129" i="71"/>
  <c r="B54" i="71"/>
  <c r="B86" i="71"/>
  <c r="B295" i="71"/>
  <c r="B233" i="71"/>
  <c r="B32" i="71"/>
  <c r="B190" i="71"/>
  <c r="B152" i="71"/>
  <c r="B56" i="71"/>
  <c r="B93" i="71"/>
  <c r="B261" i="71"/>
  <c r="B126" i="71"/>
  <c r="B222" i="71"/>
  <c r="B45" i="71"/>
  <c r="B309" i="71"/>
  <c r="B47" i="71"/>
  <c r="B143" i="71"/>
  <c r="B239" i="71"/>
  <c r="B24" i="71"/>
  <c r="B184" i="71"/>
  <c r="B280" i="71"/>
  <c r="B169" i="71"/>
  <c r="B273" i="71"/>
  <c r="B57" i="71"/>
  <c r="B98" i="71"/>
  <c r="B274" i="71"/>
  <c r="B282" i="71"/>
  <c r="B298" i="71"/>
  <c r="B112" i="71"/>
  <c r="B25" i="71"/>
  <c r="B49" i="71"/>
  <c r="B81" i="71"/>
  <c r="B300" i="71"/>
  <c r="B19" i="71"/>
  <c r="B284" i="71"/>
  <c r="B50" i="71"/>
  <c r="B170" i="71"/>
  <c r="B290" i="71"/>
  <c r="B59" i="71"/>
  <c r="B292" i="71"/>
  <c r="B66" i="71"/>
  <c r="B186" i="71"/>
  <c r="B306" i="71"/>
  <c r="B75" i="71"/>
  <c r="B74" i="71"/>
  <c r="B194" i="71"/>
  <c r="B40" i="71"/>
  <c r="B83" i="71"/>
  <c r="B82" i="71"/>
  <c r="B202" i="71"/>
  <c r="B72" i="71"/>
  <c r="B91" i="71"/>
  <c r="B99" i="71"/>
  <c r="B107" i="71"/>
  <c r="B115" i="71"/>
  <c r="B123" i="71"/>
  <c r="B163" i="71"/>
  <c r="B171" i="71"/>
  <c r="B179" i="71"/>
  <c r="B187" i="71"/>
  <c r="B195" i="71"/>
  <c r="B203" i="71"/>
  <c r="B211" i="71"/>
  <c r="B219" i="71"/>
  <c r="B259" i="71"/>
  <c r="B267" i="71"/>
  <c r="B275" i="71"/>
  <c r="B283" i="71"/>
  <c r="B291" i="71"/>
  <c r="B299" i="71"/>
  <c r="B307" i="71"/>
  <c r="B315" i="71"/>
  <c r="B76" i="71"/>
  <c r="B84" i="71"/>
  <c r="B92" i="71"/>
  <c r="B100" i="71"/>
  <c r="B108" i="71"/>
  <c r="B116" i="71"/>
  <c r="B124" i="71"/>
  <c r="B132" i="71"/>
  <c r="B172" i="71"/>
  <c r="B180" i="71"/>
  <c r="B188" i="71"/>
  <c r="B196" i="71"/>
  <c r="B204" i="71"/>
  <c r="B308" i="71"/>
  <c r="B316" i="71"/>
  <c r="B317" i="71"/>
  <c r="B26" i="71"/>
  <c r="B122" i="71"/>
  <c r="B218" i="71"/>
  <c r="B314" i="71"/>
  <c r="B35" i="71"/>
  <c r="B131" i="71"/>
  <c r="B227" i="71"/>
  <c r="B44" i="71"/>
  <c r="B140" i="71"/>
  <c r="B236" i="71"/>
  <c r="B34" i="71"/>
  <c r="B130" i="71"/>
  <c r="B226" i="71"/>
  <c r="B36" i="71"/>
  <c r="B43" i="71"/>
  <c r="B139" i="71"/>
  <c r="B235" i="71"/>
  <c r="B52" i="71"/>
  <c r="B148" i="71"/>
  <c r="B244" i="71"/>
  <c r="B42" i="71"/>
  <c r="B138" i="71"/>
  <c r="B234" i="71"/>
  <c r="B21" i="71"/>
  <c r="B51" i="71"/>
  <c r="B147" i="71"/>
  <c r="B243" i="71"/>
  <c r="B60" i="71"/>
  <c r="B156" i="71"/>
  <c r="B252" i="71"/>
  <c r="B155" i="71"/>
  <c r="B251" i="71"/>
  <c r="B68" i="71"/>
  <c r="B164" i="71"/>
  <c r="B260" i="71"/>
  <c r="E42" i="33"/>
  <c r="G42" i="33" l="1"/>
  <c r="D5" i="74" s="1"/>
  <c r="E8" i="41"/>
  <c r="E9" i="41" s="1"/>
  <c r="E5" i="41"/>
  <c r="E6" i="41" s="1"/>
  <c r="E41" i="33"/>
  <c r="G41" i="33" s="1"/>
  <c r="F10" i="74"/>
  <c r="B13" i="41"/>
  <c r="E17" i="41"/>
  <c r="E43" i="33"/>
  <c r="C19" i="71"/>
  <c r="E19" i="71" s="1"/>
  <c r="D20" i="71" s="1"/>
  <c r="C20" i="71" s="1"/>
  <c r="E20" i="71" s="1"/>
  <c r="D21" i="71" s="1"/>
  <c r="C21" i="71" s="1"/>
  <c r="E21" i="71" s="1"/>
  <c r="D22" i="71" s="1"/>
  <c r="C22" i="71" s="1"/>
  <c r="E22" i="71" s="1"/>
  <c r="B5" i="41"/>
  <c r="D15" i="74" l="1"/>
  <c r="F14" i="74"/>
  <c r="F13" i="74"/>
  <c r="B9" i="41"/>
  <c r="D40" i="33"/>
  <c r="D23" i="71"/>
  <c r="C23" i="71" s="1"/>
  <c r="E23" i="71" s="1"/>
  <c r="D24" i="71" s="1"/>
  <c r="C24" i="71" s="1"/>
  <c r="E24" i="71" s="1"/>
  <c r="D25" i="71" s="1"/>
  <c r="C25" i="71" s="1"/>
  <c r="E25" i="71" s="1"/>
  <c r="D26" i="71" s="1"/>
  <c r="C26" i="71" s="1"/>
  <c r="E26" i="71" s="1"/>
  <c r="D27" i="71" s="1"/>
  <c r="C27" i="71" s="1"/>
  <c r="E27" i="71" s="1"/>
  <c r="D28" i="71" s="1"/>
  <c r="C28" i="71" s="1"/>
  <c r="E28" i="71" s="1"/>
  <c r="D18" i="41"/>
  <c r="F26" i="74" l="1"/>
  <c r="F25" i="74"/>
  <c r="F27" i="74"/>
  <c r="B12" i="41"/>
  <c r="B14" i="41" s="1"/>
  <c r="B128" i="41"/>
  <c r="B263" i="41"/>
  <c r="B279" i="41"/>
  <c r="B183" i="41"/>
  <c r="B175" i="41"/>
  <c r="B159" i="41"/>
  <c r="B119" i="41"/>
  <c r="B10" i="41"/>
  <c r="B135" i="41"/>
  <c r="B127" i="41"/>
  <c r="B200" i="41"/>
  <c r="B63" i="41"/>
  <c r="B272" i="41"/>
  <c r="B176" i="41"/>
  <c r="B312" i="41"/>
  <c r="B303" i="41"/>
  <c r="B104" i="41"/>
  <c r="B295" i="41"/>
  <c r="B39" i="41"/>
  <c r="B255" i="41"/>
  <c r="B24" i="41"/>
  <c r="B247" i="41"/>
  <c r="B239" i="41"/>
  <c r="B232" i="41"/>
  <c r="B215" i="41"/>
  <c r="B230" i="41"/>
  <c r="B198" i="41"/>
  <c r="B190" i="41"/>
  <c r="B311" i="41"/>
  <c r="B143" i="41"/>
  <c r="B80" i="41"/>
  <c r="B231" i="41"/>
  <c r="B87" i="41"/>
  <c r="B150" i="41"/>
  <c r="B32" i="41"/>
  <c r="B223" i="41"/>
  <c r="B79" i="41"/>
  <c r="B94" i="41"/>
  <c r="B71" i="41"/>
  <c r="B240" i="41"/>
  <c r="B262" i="41"/>
  <c r="B55" i="41"/>
  <c r="B246" i="41"/>
  <c r="B287" i="41"/>
  <c r="B167" i="41"/>
  <c r="B47" i="41"/>
  <c r="B271" i="41"/>
  <c r="B151" i="41"/>
  <c r="B31" i="41"/>
  <c r="B23" i="41"/>
  <c r="B207" i="41"/>
  <c r="B111" i="41"/>
  <c r="B216" i="41"/>
  <c r="B199" i="41"/>
  <c r="B103" i="41"/>
  <c r="B160" i="41"/>
  <c r="B191" i="41"/>
  <c r="B95" i="41"/>
  <c r="B120" i="41"/>
  <c r="B54" i="41"/>
  <c r="B64" i="41"/>
  <c r="B278" i="41"/>
  <c r="B286" i="41"/>
  <c r="B277" i="41"/>
  <c r="B261" i="41"/>
  <c r="B253" i="41"/>
  <c r="B158" i="41"/>
  <c r="B288" i="41"/>
  <c r="B118" i="41"/>
  <c r="B102" i="41"/>
  <c r="B173" i="41"/>
  <c r="B149" i="41"/>
  <c r="B133" i="41"/>
  <c r="B22" i="41"/>
  <c r="B192" i="41"/>
  <c r="B182" i="41"/>
  <c r="B86" i="41"/>
  <c r="B168" i="41"/>
  <c r="B238" i="41"/>
  <c r="B245" i="41"/>
  <c r="B125" i="41"/>
  <c r="B174" i="41"/>
  <c r="B78" i="41"/>
  <c r="B136" i="41"/>
  <c r="B222" i="41"/>
  <c r="B229" i="41"/>
  <c r="B109" i="41"/>
  <c r="B166" i="41"/>
  <c r="B70" i="41"/>
  <c r="B112" i="41"/>
  <c r="B206" i="41"/>
  <c r="B221" i="41"/>
  <c r="B77" i="41"/>
  <c r="B62" i="41"/>
  <c r="B72" i="41"/>
  <c r="B317" i="41"/>
  <c r="B213" i="41"/>
  <c r="B61" i="41"/>
  <c r="B40" i="41"/>
  <c r="B309" i="41"/>
  <c r="B205" i="41"/>
  <c r="B45" i="41"/>
  <c r="B302" i="41"/>
  <c r="B142" i="41"/>
  <c r="B46" i="41"/>
  <c r="B18" i="41"/>
  <c r="C18" i="41" s="1"/>
  <c r="E18" i="41" s="1"/>
  <c r="B301" i="41"/>
  <c r="B197" i="41"/>
  <c r="B37" i="41"/>
  <c r="B134" i="41"/>
  <c r="B38" i="41"/>
  <c r="B310" i="41"/>
  <c r="B293" i="41"/>
  <c r="B189" i="41"/>
  <c r="B292" i="41"/>
  <c r="B254" i="41"/>
  <c r="B126" i="41"/>
  <c r="B30" i="41"/>
  <c r="B294" i="41"/>
  <c r="B285" i="41"/>
  <c r="B181" i="41"/>
  <c r="B214" i="41"/>
  <c r="B110" i="41"/>
  <c r="B264" i="41"/>
  <c r="B270" i="41"/>
  <c r="B269" i="41"/>
  <c r="B165" i="41"/>
  <c r="B280" i="41"/>
  <c r="B157" i="41"/>
  <c r="B237" i="41"/>
  <c r="B141" i="41"/>
  <c r="B92" i="41"/>
  <c r="B180" i="41"/>
  <c r="B148" i="41"/>
  <c r="B117" i="41"/>
  <c r="B93" i="41"/>
  <c r="B101" i="41"/>
  <c r="B85" i="41"/>
  <c r="B132" i="41"/>
  <c r="B60" i="41"/>
  <c r="B69" i="41"/>
  <c r="B53" i="41"/>
  <c r="B116" i="41"/>
  <c r="B36" i="41"/>
  <c r="B20" i="41"/>
  <c r="B29" i="41"/>
  <c r="B96" i="41"/>
  <c r="B21" i="41"/>
  <c r="B256" i="41"/>
  <c r="B252" i="41"/>
  <c r="B220" i="41"/>
  <c r="B224" i="41"/>
  <c r="B184" i="41"/>
  <c r="B56" i="41"/>
  <c r="B124" i="41"/>
  <c r="B308" i="41"/>
  <c r="B236" i="41"/>
  <c r="B100" i="41"/>
  <c r="B84" i="41"/>
  <c r="B76" i="41"/>
  <c r="B196" i="41"/>
  <c r="B68" i="41"/>
  <c r="B44" i="41"/>
  <c r="B140" i="41"/>
  <c r="B52" i="41"/>
  <c r="B260" i="41"/>
  <c r="B164" i="41"/>
  <c r="B28" i="41"/>
  <c r="B195" i="41"/>
  <c r="B188" i="41"/>
  <c r="B144" i="41"/>
  <c r="B172" i="41"/>
  <c r="B315" i="41"/>
  <c r="B123" i="41"/>
  <c r="B284" i="41"/>
  <c r="B268" i="41"/>
  <c r="B276" i="41"/>
  <c r="B307" i="41"/>
  <c r="B244" i="41"/>
  <c r="B228" i="41"/>
  <c r="B122" i="41"/>
  <c r="B212" i="41"/>
  <c r="B204" i="41"/>
  <c r="B107" i="41"/>
  <c r="B59" i="41"/>
  <c r="B35" i="41"/>
  <c r="B114" i="41"/>
  <c r="B156" i="41"/>
  <c r="B108" i="41"/>
  <c r="B98" i="41"/>
  <c r="B202" i="41"/>
  <c r="B299" i="41"/>
  <c r="B251" i="41"/>
  <c r="B235" i="41"/>
  <c r="B227" i="41"/>
  <c r="B314" i="41"/>
  <c r="B203" i="41"/>
  <c r="B139" i="41"/>
  <c r="B131" i="41"/>
  <c r="B88" i="41"/>
  <c r="B58" i="41"/>
  <c r="B266" i="41"/>
  <c r="B99" i="41"/>
  <c r="B291" i="41"/>
  <c r="B43" i="41"/>
  <c r="B170" i="41"/>
  <c r="B219" i="41"/>
  <c r="B27" i="41"/>
  <c r="B305" i="41"/>
  <c r="B296" i="41"/>
  <c r="B155" i="41"/>
  <c r="B154" i="41"/>
  <c r="B130" i="41"/>
  <c r="B211" i="41"/>
  <c r="B115" i="41"/>
  <c r="B19" i="41"/>
  <c r="B106" i="41"/>
  <c r="B313" i="41"/>
  <c r="B297" i="41"/>
  <c r="B283" i="41"/>
  <c r="B187" i="41"/>
  <c r="B91" i="41"/>
  <c r="B274" i="41"/>
  <c r="B34" i="41"/>
  <c r="B233" i="41"/>
  <c r="B275" i="41"/>
  <c r="B179" i="41"/>
  <c r="B83" i="41"/>
  <c r="B226" i="41"/>
  <c r="B304" i="41"/>
  <c r="B193" i="41"/>
  <c r="B267" i="41"/>
  <c r="B171" i="41"/>
  <c r="B75" i="41"/>
  <c r="B194" i="41"/>
  <c r="B248" i="41"/>
  <c r="B185" i="41"/>
  <c r="B259" i="41"/>
  <c r="B163" i="41"/>
  <c r="B67" i="41"/>
  <c r="B162" i="41"/>
  <c r="B208" i="41"/>
  <c r="B243" i="41"/>
  <c r="B147" i="41"/>
  <c r="B51" i="41"/>
  <c r="B146" i="41"/>
  <c r="B290" i="41"/>
  <c r="B177" i="41"/>
  <c r="B258" i="41"/>
  <c r="B250" i="41"/>
  <c r="B90" i="41"/>
  <c r="B152" i="41"/>
  <c r="B242" i="41"/>
  <c r="B289" i="41"/>
  <c r="B153" i="41"/>
  <c r="B82" i="41"/>
  <c r="B48" i="41"/>
  <c r="B234" i="41"/>
  <c r="B281" i="41"/>
  <c r="B113" i="41"/>
  <c r="B74" i="41"/>
  <c r="B316" i="41"/>
  <c r="B218" i="41"/>
  <c r="B273" i="41"/>
  <c r="B97" i="41"/>
  <c r="B66" i="41"/>
  <c r="B300" i="41"/>
  <c r="B210" i="41"/>
  <c r="B265" i="41"/>
  <c r="B73" i="41"/>
  <c r="B257" i="41"/>
  <c r="B49" i="41"/>
  <c r="B50" i="41"/>
  <c r="B306" i="41"/>
  <c r="B186" i="41"/>
  <c r="B249" i="41"/>
  <c r="B41" i="41"/>
  <c r="B42" i="41"/>
  <c r="B298" i="41"/>
  <c r="B178" i="41"/>
  <c r="B241" i="41"/>
  <c r="B26" i="41"/>
  <c r="B282" i="41"/>
  <c r="B138" i="41"/>
  <c r="B209" i="41"/>
  <c r="B81" i="41"/>
  <c r="B65" i="41"/>
  <c r="B57" i="41"/>
  <c r="B169" i="41"/>
  <c r="B33" i="41"/>
  <c r="B161" i="41"/>
  <c r="B145" i="41"/>
  <c r="B137" i="41"/>
  <c r="B225" i="41"/>
  <c r="B129" i="41"/>
  <c r="B25" i="41"/>
  <c r="B217" i="41"/>
  <c r="B121" i="41"/>
  <c r="B201" i="41"/>
  <c r="B105" i="41"/>
  <c r="F40" i="33"/>
  <c r="B89" i="41"/>
  <c r="D29" i="71"/>
  <c r="C29" i="71" s="1"/>
  <c r="E29" i="71" s="1"/>
  <c r="D30" i="71" s="1"/>
  <c r="C30" i="71" s="1"/>
  <c r="E30" i="71" s="1"/>
  <c r="G40" i="33" l="1"/>
  <c r="D7" i="74" s="1"/>
  <c r="D31" i="71"/>
  <c r="C31" i="71" s="1"/>
  <c r="E31" i="71" s="1"/>
  <c r="D32" i="71" s="1"/>
  <c r="C32" i="71" s="1"/>
  <c r="E32" i="71" s="1"/>
  <c r="D19" i="41"/>
  <c r="C19" i="41" s="1"/>
  <c r="E19" i="41" s="1"/>
  <c r="E7" i="74" l="1"/>
  <c r="D14" i="74"/>
  <c r="D13" i="74"/>
  <c r="D33" i="71"/>
  <c r="C33" i="71" s="1"/>
  <c r="E33" i="71" s="1"/>
  <c r="D34" i="71" s="1"/>
  <c r="C34" i="71" s="1"/>
  <c r="E34" i="71" s="1"/>
  <c r="D20" i="41"/>
  <c r="C20" i="41" s="1"/>
  <c r="E20" i="41" s="1"/>
  <c r="D25" i="74" l="1"/>
  <c r="D26" i="74"/>
  <c r="D27" i="74"/>
  <c r="D35" i="71"/>
  <c r="C35" i="71" s="1"/>
  <c r="E35" i="71" s="1"/>
  <c r="D36" i="71" s="1"/>
  <c r="C36" i="71" s="1"/>
  <c r="E36" i="71" s="1"/>
  <c r="D37" i="71" s="1"/>
  <c r="C37" i="71" s="1"/>
  <c r="E37" i="71" s="1"/>
  <c r="D38" i="71" s="1"/>
  <c r="C38" i="71" s="1"/>
  <c r="E38" i="71" s="1"/>
  <c r="D21" i="41"/>
  <c r="D39" i="71" l="1"/>
  <c r="C39" i="71" s="1"/>
  <c r="E39" i="71" s="1"/>
  <c r="D40" i="71" s="1"/>
  <c r="C40" i="71" s="1"/>
  <c r="E40" i="71" s="1"/>
  <c r="C21" i="41"/>
  <c r="E21" i="41" s="1"/>
  <c r="D41" i="71" l="1"/>
  <c r="C41" i="71" s="1"/>
  <c r="E41" i="71" s="1"/>
  <c r="D42" i="71" s="1"/>
  <c r="C42" i="71" s="1"/>
  <c r="E42" i="71" s="1"/>
  <c r="D22" i="41"/>
  <c r="D43" i="71" l="1"/>
  <c r="C43" i="71" s="1"/>
  <c r="E43" i="71" s="1"/>
  <c r="D44" i="71" s="1"/>
  <c r="C44" i="71" s="1"/>
  <c r="E44" i="71" s="1"/>
  <c r="C22" i="41"/>
  <c r="E22" i="41" s="1"/>
  <c r="D45" i="71" l="1"/>
  <c r="C45" i="71" s="1"/>
  <c r="E45" i="71" s="1"/>
  <c r="D46" i="71" s="1"/>
  <c r="C46" i="71" s="1"/>
  <c r="E46" i="71" s="1"/>
  <c r="D23" i="41"/>
  <c r="D47" i="71" l="1"/>
  <c r="C47" i="71" s="1"/>
  <c r="E47" i="71" s="1"/>
  <c r="D48" i="71" s="1"/>
  <c r="C48" i="71" s="1"/>
  <c r="E48" i="71" s="1"/>
  <c r="C23" i="41"/>
  <c r="E23" i="41" s="1"/>
  <c r="D49" i="71" l="1"/>
  <c r="C49" i="71" s="1"/>
  <c r="E49" i="71" s="1"/>
  <c r="D50" i="71" s="1"/>
  <c r="C50" i="71" s="1"/>
  <c r="E50" i="71" s="1"/>
  <c r="D24" i="41"/>
  <c r="D51" i="71" l="1"/>
  <c r="C51" i="71" s="1"/>
  <c r="E51" i="71" s="1"/>
  <c r="D52" i="71" s="1"/>
  <c r="C52" i="71" s="1"/>
  <c r="E52" i="71" s="1"/>
  <c r="C24" i="41"/>
  <c r="E24" i="41" s="1"/>
  <c r="D53" i="71" l="1"/>
  <c r="C53" i="71" s="1"/>
  <c r="E53" i="71" s="1"/>
  <c r="D54" i="71" s="1"/>
  <c r="C54" i="71" s="1"/>
  <c r="E54" i="71" s="1"/>
  <c r="D25" i="41"/>
  <c r="D55" i="71" l="1"/>
  <c r="C55" i="71" s="1"/>
  <c r="E55" i="71" s="1"/>
  <c r="D56" i="71" s="1"/>
  <c r="C56" i="71" s="1"/>
  <c r="E56" i="71" s="1"/>
  <c r="C25" i="41"/>
  <c r="E25" i="41" s="1"/>
  <c r="D57" i="71" l="1"/>
  <c r="C57" i="71" s="1"/>
  <c r="E57" i="71" s="1"/>
  <c r="D58" i="71" s="1"/>
  <c r="C58" i="71" s="1"/>
  <c r="E58" i="71" s="1"/>
  <c r="D59" i="71" s="1"/>
  <c r="C59" i="71" s="1"/>
  <c r="E59" i="71" s="1"/>
  <c r="D60" i="71" s="1"/>
  <c r="C60" i="71" s="1"/>
  <c r="E60" i="71" s="1"/>
  <c r="D26" i="41"/>
  <c r="D61" i="71" l="1"/>
  <c r="C61" i="71" s="1"/>
  <c r="E61" i="71" s="1"/>
  <c r="D62" i="71" s="1"/>
  <c r="C62" i="71" s="1"/>
  <c r="E62" i="71" s="1"/>
  <c r="D63" i="71" s="1"/>
  <c r="C63" i="71" s="1"/>
  <c r="E63" i="71" s="1"/>
  <c r="D64" i="71" s="1"/>
  <c r="C64" i="71" s="1"/>
  <c r="E64" i="71" s="1"/>
  <c r="C26" i="41"/>
  <c r="E26" i="41" s="1"/>
  <c r="D65" i="71" l="1"/>
  <c r="C65" i="71" s="1"/>
  <c r="E65" i="71" s="1"/>
  <c r="D66" i="71" s="1"/>
  <c r="C66" i="71" s="1"/>
  <c r="E66" i="71" s="1"/>
  <c r="D27" i="41"/>
  <c r="D67" i="71" l="1"/>
  <c r="C67" i="71" s="1"/>
  <c r="E67" i="71" s="1"/>
  <c r="D68" i="71" s="1"/>
  <c r="C68" i="71" s="1"/>
  <c r="E68" i="71" s="1"/>
  <c r="D69" i="71" s="1"/>
  <c r="C69" i="71" s="1"/>
  <c r="E69" i="71" s="1"/>
  <c r="D70" i="71" s="1"/>
  <c r="C70" i="71" s="1"/>
  <c r="E70" i="71" s="1"/>
  <c r="C27" i="41"/>
  <c r="E27" i="41" s="1"/>
  <c r="D71" i="71" l="1"/>
  <c r="C71" i="71" s="1"/>
  <c r="E71" i="71" s="1"/>
  <c r="D72" i="71" s="1"/>
  <c r="C72" i="71" s="1"/>
  <c r="E72" i="71" s="1"/>
  <c r="D28" i="41"/>
  <c r="D73" i="71" l="1"/>
  <c r="C73" i="71" s="1"/>
  <c r="E73" i="71" s="1"/>
  <c r="D74" i="71" s="1"/>
  <c r="C74" i="71" s="1"/>
  <c r="E74" i="71" s="1"/>
  <c r="C28" i="41"/>
  <c r="E28" i="41" s="1"/>
  <c r="D75" i="71" l="1"/>
  <c r="C75" i="71" s="1"/>
  <c r="E75" i="71" s="1"/>
  <c r="D76" i="71" s="1"/>
  <c r="C76" i="71" s="1"/>
  <c r="E76" i="71" s="1"/>
  <c r="D29" i="41"/>
  <c r="D77" i="71" l="1"/>
  <c r="C77" i="71" s="1"/>
  <c r="E77" i="71" s="1"/>
  <c r="D78" i="71" s="1"/>
  <c r="C78" i="71" s="1"/>
  <c r="E78" i="71" s="1"/>
  <c r="C29" i="41"/>
  <c r="E29" i="41" s="1"/>
  <c r="D79" i="71" l="1"/>
  <c r="C79" i="71" s="1"/>
  <c r="E79" i="71" s="1"/>
  <c r="D80" i="71" s="1"/>
  <c r="C80" i="71" s="1"/>
  <c r="E80" i="71" s="1"/>
  <c r="D30" i="41"/>
  <c r="D81" i="71" l="1"/>
  <c r="C81" i="71" s="1"/>
  <c r="E81" i="71" s="1"/>
  <c r="D82" i="71" s="1"/>
  <c r="C82" i="71" s="1"/>
  <c r="E82" i="71" s="1"/>
  <c r="C30" i="41"/>
  <c r="E30" i="41" s="1"/>
  <c r="D83" i="71" l="1"/>
  <c r="C83" i="71" s="1"/>
  <c r="E83" i="71" s="1"/>
  <c r="D84" i="71" s="1"/>
  <c r="C84" i="71" s="1"/>
  <c r="E84" i="71" s="1"/>
  <c r="D31" i="41"/>
  <c r="D85" i="71" l="1"/>
  <c r="C85" i="71" s="1"/>
  <c r="E85" i="71" s="1"/>
  <c r="D86" i="71" s="1"/>
  <c r="C86" i="71" s="1"/>
  <c r="E86" i="71" s="1"/>
  <c r="C31" i="41"/>
  <c r="E31" i="41" s="1"/>
  <c r="D87" i="71" l="1"/>
  <c r="C87" i="71" s="1"/>
  <c r="E87" i="71" s="1"/>
  <c r="D88" i="71" s="1"/>
  <c r="C88" i="71" s="1"/>
  <c r="E88" i="71" s="1"/>
  <c r="D89" i="71" s="1"/>
  <c r="C89" i="71" s="1"/>
  <c r="E89" i="71" s="1"/>
  <c r="D90" i="71" s="1"/>
  <c r="C90" i="71" s="1"/>
  <c r="E90" i="71" s="1"/>
  <c r="D32" i="41"/>
  <c r="D91" i="71" l="1"/>
  <c r="C91" i="71" s="1"/>
  <c r="E91" i="71" s="1"/>
  <c r="D92" i="71" s="1"/>
  <c r="C92" i="71" s="1"/>
  <c r="E92" i="71" s="1"/>
  <c r="D93" i="71" s="1"/>
  <c r="C93" i="71" s="1"/>
  <c r="E93" i="71" s="1"/>
  <c r="D94" i="71" s="1"/>
  <c r="C94" i="71" s="1"/>
  <c r="E94" i="71" s="1"/>
  <c r="C32" i="41"/>
  <c r="E32" i="41" s="1"/>
  <c r="D95" i="71" l="1"/>
  <c r="C95" i="71" s="1"/>
  <c r="E95" i="71" s="1"/>
  <c r="D33" i="41"/>
  <c r="D96" i="71" l="1"/>
  <c r="C96" i="71" s="1"/>
  <c r="E96" i="71" s="1"/>
  <c r="D97" i="71" s="1"/>
  <c r="C97" i="71" s="1"/>
  <c r="E97" i="71" s="1"/>
  <c r="D98" i="71" s="1"/>
  <c r="C98" i="71" s="1"/>
  <c r="E98" i="71" s="1"/>
  <c r="D99" i="71" s="1"/>
  <c r="C99" i="71" s="1"/>
  <c r="E99" i="71" s="1"/>
  <c r="D100" i="71" s="1"/>
  <c r="C100" i="71" s="1"/>
  <c r="E100" i="71" s="1"/>
  <c r="C33" i="41"/>
  <c r="E33" i="41" s="1"/>
  <c r="D101" i="71" l="1"/>
  <c r="C101" i="71" s="1"/>
  <c r="E101" i="71" s="1"/>
  <c r="D102" i="71" s="1"/>
  <c r="C102" i="71" s="1"/>
  <c r="E102" i="71" s="1"/>
  <c r="D103" i="71" s="1"/>
  <c r="C103" i="71" s="1"/>
  <c r="E103" i="71" s="1"/>
  <c r="D104" i="71" s="1"/>
  <c r="C104" i="71" s="1"/>
  <c r="E104" i="71" s="1"/>
  <c r="D34" i="41"/>
  <c r="D105" i="71" l="1"/>
  <c r="C105" i="71" s="1"/>
  <c r="E105" i="71" s="1"/>
  <c r="D106" i="71" s="1"/>
  <c r="C106" i="71" s="1"/>
  <c r="E106" i="71" s="1"/>
  <c r="D107" i="71" s="1"/>
  <c r="C107" i="71" s="1"/>
  <c r="E107" i="71" s="1"/>
  <c r="D108" i="71" s="1"/>
  <c r="C108" i="71" s="1"/>
  <c r="E108" i="71" s="1"/>
  <c r="D109" i="71" s="1"/>
  <c r="C109" i="71" s="1"/>
  <c r="E109" i="71" s="1"/>
  <c r="D110" i="71" s="1"/>
  <c r="C110" i="71" s="1"/>
  <c r="E110" i="71" s="1"/>
  <c r="C34" i="41"/>
  <c r="E34" i="41" s="1"/>
  <c r="D111" i="71" l="1"/>
  <c r="C111" i="71" s="1"/>
  <c r="E111" i="71" s="1"/>
  <c r="D112" i="71" s="1"/>
  <c r="C112" i="71" s="1"/>
  <c r="E112" i="71" s="1"/>
  <c r="D35" i="41"/>
  <c r="D113" i="71" l="1"/>
  <c r="C113" i="71" s="1"/>
  <c r="E113" i="71" s="1"/>
  <c r="D114" i="71" s="1"/>
  <c r="C114" i="71" s="1"/>
  <c r="E114" i="71" s="1"/>
  <c r="C35" i="41"/>
  <c r="E35" i="41" s="1"/>
  <c r="D115" i="71" l="1"/>
  <c r="C115" i="71" s="1"/>
  <c r="E115" i="71" s="1"/>
  <c r="D116" i="71" s="1"/>
  <c r="C116" i="71" s="1"/>
  <c r="E116" i="71" s="1"/>
  <c r="D36" i="41"/>
  <c r="D117" i="71" l="1"/>
  <c r="C117" i="71" s="1"/>
  <c r="E117" i="71" s="1"/>
  <c r="D118" i="71" s="1"/>
  <c r="C118" i="71" s="1"/>
  <c r="E118" i="71" s="1"/>
  <c r="C36" i="41"/>
  <c r="E36" i="41" s="1"/>
  <c r="D119" i="71" l="1"/>
  <c r="C119" i="71" s="1"/>
  <c r="E119" i="71" s="1"/>
  <c r="D120" i="71" s="1"/>
  <c r="C120" i="71" s="1"/>
  <c r="E120" i="71" s="1"/>
  <c r="D37" i="41"/>
  <c r="D121" i="71" l="1"/>
  <c r="C121" i="71" s="1"/>
  <c r="E121" i="71" s="1"/>
  <c r="D122" i="71" s="1"/>
  <c r="C122" i="71" s="1"/>
  <c r="E122" i="71" s="1"/>
  <c r="C37" i="41"/>
  <c r="E37" i="41" s="1"/>
  <c r="D123" i="71" l="1"/>
  <c r="C123" i="71" s="1"/>
  <c r="E123" i="71" s="1"/>
  <c r="D124" i="71" s="1"/>
  <c r="C124" i="71" s="1"/>
  <c r="E124" i="71" s="1"/>
  <c r="D38" i="41"/>
  <c r="D125" i="71" l="1"/>
  <c r="C125" i="71" s="1"/>
  <c r="E125" i="71" s="1"/>
  <c r="D126" i="71" s="1"/>
  <c r="C126" i="71" s="1"/>
  <c r="E126" i="71" s="1"/>
  <c r="C38" i="41"/>
  <c r="E38" i="41" s="1"/>
  <c r="D127" i="71" l="1"/>
  <c r="C127" i="71" s="1"/>
  <c r="E127" i="71" s="1"/>
  <c r="D128" i="71" s="1"/>
  <c r="C128" i="71" s="1"/>
  <c r="E128" i="71" s="1"/>
  <c r="D129" i="71" s="1"/>
  <c r="C129" i="71" s="1"/>
  <c r="E129" i="71" s="1"/>
  <c r="D130" i="71" s="1"/>
  <c r="C130" i="71" s="1"/>
  <c r="E130" i="71" s="1"/>
  <c r="D39" i="41"/>
  <c r="D131" i="71" l="1"/>
  <c r="C131" i="71" s="1"/>
  <c r="E131" i="71" s="1"/>
  <c r="D132" i="71" s="1"/>
  <c r="C132" i="71" s="1"/>
  <c r="E132" i="71" s="1"/>
  <c r="C39" i="41"/>
  <c r="E39" i="41" s="1"/>
  <c r="D133" i="71" l="1"/>
  <c r="C133" i="71" s="1"/>
  <c r="E133" i="71" s="1"/>
  <c r="D134" i="71" s="1"/>
  <c r="C134" i="71" s="1"/>
  <c r="E134" i="71" s="1"/>
  <c r="D40" i="41"/>
  <c r="D135" i="71" l="1"/>
  <c r="C135" i="71" s="1"/>
  <c r="E135" i="71" s="1"/>
  <c r="D136" i="71" s="1"/>
  <c r="C136" i="71" s="1"/>
  <c r="E136" i="71" s="1"/>
  <c r="C40" i="41"/>
  <c r="E40" i="41" s="1"/>
  <c r="D137" i="71" l="1"/>
  <c r="C137" i="71" s="1"/>
  <c r="E137" i="71" s="1"/>
  <c r="D138" i="71" s="1"/>
  <c r="C138" i="71" s="1"/>
  <c r="E138" i="71" s="1"/>
  <c r="D41" i="41"/>
  <c r="D139" i="71" l="1"/>
  <c r="C139" i="71" s="1"/>
  <c r="E139" i="71" s="1"/>
  <c r="D140" i="71" s="1"/>
  <c r="C140" i="71" s="1"/>
  <c r="E140" i="71" s="1"/>
  <c r="C41" i="41"/>
  <c r="E41" i="41" s="1"/>
  <c r="D141" i="71" l="1"/>
  <c r="C141" i="71" s="1"/>
  <c r="E141" i="71" s="1"/>
  <c r="D142" i="71" s="1"/>
  <c r="C142" i="71" s="1"/>
  <c r="E142" i="71" s="1"/>
  <c r="D143" i="71" s="1"/>
  <c r="C143" i="71" s="1"/>
  <c r="E143" i="71" s="1"/>
  <c r="D144" i="71" s="1"/>
  <c r="C144" i="71" s="1"/>
  <c r="E144" i="71" s="1"/>
  <c r="D42" i="41"/>
  <c r="D145" i="71" l="1"/>
  <c r="C145" i="71" s="1"/>
  <c r="E145" i="71" s="1"/>
  <c r="D146" i="71" s="1"/>
  <c r="C146" i="71" s="1"/>
  <c r="E146" i="71" s="1"/>
  <c r="C42" i="41"/>
  <c r="E42" i="41" s="1"/>
  <c r="D147" i="71" l="1"/>
  <c r="C147" i="71" s="1"/>
  <c r="E147" i="71" s="1"/>
  <c r="D148" i="71" s="1"/>
  <c r="C148" i="71" s="1"/>
  <c r="E148" i="71" s="1"/>
  <c r="D149" i="71" s="1"/>
  <c r="C149" i="71" s="1"/>
  <c r="E149" i="71" s="1"/>
  <c r="D150" i="71" s="1"/>
  <c r="C150" i="71" s="1"/>
  <c r="E150" i="71" s="1"/>
  <c r="D151" i="71" s="1"/>
  <c r="C151" i="71" s="1"/>
  <c r="E151" i="71" s="1"/>
  <c r="D152" i="71" s="1"/>
  <c r="C152" i="71" s="1"/>
  <c r="E152" i="71" s="1"/>
  <c r="D153" i="71" s="1"/>
  <c r="C153" i="71" s="1"/>
  <c r="E153" i="71" s="1"/>
  <c r="D154" i="71" s="1"/>
  <c r="C154" i="71" s="1"/>
  <c r="E154" i="71" s="1"/>
  <c r="D155" i="71" s="1"/>
  <c r="C155" i="71" s="1"/>
  <c r="E155" i="71" s="1"/>
  <c r="D156" i="71" s="1"/>
  <c r="C156" i="71" s="1"/>
  <c r="E156" i="71" s="1"/>
  <c r="D157" i="71" s="1"/>
  <c r="C157" i="71" s="1"/>
  <c r="E157" i="71" s="1"/>
  <c r="D158" i="71" s="1"/>
  <c r="C158" i="71" s="1"/>
  <c r="E158" i="71" s="1"/>
  <c r="D159" i="71" s="1"/>
  <c r="C159" i="71" s="1"/>
  <c r="E159" i="71" s="1"/>
  <c r="D160" i="71" s="1"/>
  <c r="C160" i="71" s="1"/>
  <c r="E160" i="71" s="1"/>
  <c r="D161" i="71" s="1"/>
  <c r="C161" i="71" s="1"/>
  <c r="E161" i="71" s="1"/>
  <c r="D162" i="71" s="1"/>
  <c r="C162" i="71" s="1"/>
  <c r="E162" i="71" s="1"/>
  <c r="D163" i="71" s="1"/>
  <c r="C163" i="71" s="1"/>
  <c r="E163" i="71" s="1"/>
  <c r="D164" i="71" s="1"/>
  <c r="C164" i="71" s="1"/>
  <c r="E164" i="71" s="1"/>
  <c r="D165" i="71" s="1"/>
  <c r="C165" i="71" s="1"/>
  <c r="E165" i="71" s="1"/>
  <c r="D166" i="71" s="1"/>
  <c r="C166" i="71" s="1"/>
  <c r="E166" i="71" s="1"/>
  <c r="D167" i="71" s="1"/>
  <c r="C167" i="71" s="1"/>
  <c r="E167" i="71" s="1"/>
  <c r="D168" i="71" s="1"/>
  <c r="C168" i="71" s="1"/>
  <c r="E168" i="71" s="1"/>
  <c r="D169" i="71" s="1"/>
  <c r="C169" i="71" s="1"/>
  <c r="E169" i="71" s="1"/>
  <c r="D170" i="71" s="1"/>
  <c r="C170" i="71" s="1"/>
  <c r="E170" i="71" s="1"/>
  <c r="D171" i="71" s="1"/>
  <c r="C171" i="71" s="1"/>
  <c r="E171" i="71" s="1"/>
  <c r="D172" i="71" s="1"/>
  <c r="C172" i="71" s="1"/>
  <c r="E172" i="71" s="1"/>
  <c r="D173" i="71" s="1"/>
  <c r="C173" i="71" s="1"/>
  <c r="E173" i="71" s="1"/>
  <c r="D174" i="71" s="1"/>
  <c r="C174" i="71" s="1"/>
  <c r="E174" i="71" s="1"/>
  <c r="D175" i="71" s="1"/>
  <c r="C175" i="71" s="1"/>
  <c r="E175" i="71" s="1"/>
  <c r="D176" i="71" s="1"/>
  <c r="C176" i="71" s="1"/>
  <c r="E176" i="71" s="1"/>
  <c r="D177" i="71" s="1"/>
  <c r="C177" i="71" s="1"/>
  <c r="E177" i="71" s="1"/>
  <c r="D178" i="71" s="1"/>
  <c r="C178" i="71" s="1"/>
  <c r="E178" i="71" s="1"/>
  <c r="D179" i="71" s="1"/>
  <c r="C179" i="71" s="1"/>
  <c r="E179" i="71" s="1"/>
  <c r="D180" i="71" s="1"/>
  <c r="C180" i="71" s="1"/>
  <c r="E180" i="71" s="1"/>
  <c r="D181" i="71" s="1"/>
  <c r="C181" i="71" s="1"/>
  <c r="E181" i="71" s="1"/>
  <c r="D182" i="71" s="1"/>
  <c r="C182" i="71" s="1"/>
  <c r="E182" i="71" s="1"/>
  <c r="D183" i="71" s="1"/>
  <c r="C183" i="71" s="1"/>
  <c r="E183" i="71" s="1"/>
  <c r="D184" i="71" s="1"/>
  <c r="C184" i="71" s="1"/>
  <c r="E184" i="71" s="1"/>
  <c r="D185" i="71" s="1"/>
  <c r="C185" i="71" s="1"/>
  <c r="E185" i="71" s="1"/>
  <c r="D186" i="71" s="1"/>
  <c r="C186" i="71" s="1"/>
  <c r="E186" i="71" s="1"/>
  <c r="D187" i="71" s="1"/>
  <c r="C187" i="71" s="1"/>
  <c r="E187" i="71" s="1"/>
  <c r="D188" i="71" s="1"/>
  <c r="C188" i="71" s="1"/>
  <c r="E188" i="71" s="1"/>
  <c r="D43" i="41"/>
  <c r="D189" i="71" l="1"/>
  <c r="C189" i="71" s="1"/>
  <c r="E189" i="71" s="1"/>
  <c r="D190" i="71" s="1"/>
  <c r="C190" i="71" s="1"/>
  <c r="E190" i="71" s="1"/>
  <c r="D191" i="71" s="1"/>
  <c r="C191" i="71" s="1"/>
  <c r="E191" i="71" s="1"/>
  <c r="D192" i="71" s="1"/>
  <c r="C192" i="71" s="1"/>
  <c r="E192" i="71" s="1"/>
  <c r="D193" i="71" s="1"/>
  <c r="C193" i="71" s="1"/>
  <c r="E193" i="71" s="1"/>
  <c r="D194" i="71" s="1"/>
  <c r="C194" i="71" s="1"/>
  <c r="E194" i="71" s="1"/>
  <c r="D195" i="71" s="1"/>
  <c r="C195" i="71" s="1"/>
  <c r="E195" i="71" s="1"/>
  <c r="D196" i="71" s="1"/>
  <c r="C196" i="71" s="1"/>
  <c r="E196" i="71" s="1"/>
  <c r="D197" i="71" s="1"/>
  <c r="C197" i="71" s="1"/>
  <c r="E197" i="71" s="1"/>
  <c r="C43" i="41"/>
  <c r="E43" i="41" s="1"/>
  <c r="D198" i="71" l="1"/>
  <c r="C198" i="71" s="1"/>
  <c r="E198" i="71" s="1"/>
  <c r="D199" i="71" s="1"/>
  <c r="C199" i="71" s="1"/>
  <c r="E199" i="71" s="1"/>
  <c r="D200" i="71" s="1"/>
  <c r="C200" i="71" s="1"/>
  <c r="E200" i="71" s="1"/>
  <c r="D201" i="71" s="1"/>
  <c r="C201" i="71" s="1"/>
  <c r="E201" i="71" s="1"/>
  <c r="D202" i="71" s="1"/>
  <c r="C202" i="71" s="1"/>
  <c r="E202" i="71" s="1"/>
  <c r="D203" i="71" s="1"/>
  <c r="C203" i="71" s="1"/>
  <c r="E203" i="71" s="1"/>
  <c r="D204" i="71" s="1"/>
  <c r="C204" i="71" s="1"/>
  <c r="E204" i="71" s="1"/>
  <c r="D205" i="71" s="1"/>
  <c r="C205" i="71" s="1"/>
  <c r="E205" i="71" s="1"/>
  <c r="D206" i="71" s="1"/>
  <c r="C206" i="71" s="1"/>
  <c r="E206" i="71" s="1"/>
  <c r="D207" i="71" s="1"/>
  <c r="C207" i="71" s="1"/>
  <c r="E207" i="71" s="1"/>
  <c r="D208" i="71" s="1"/>
  <c r="C208" i="71" s="1"/>
  <c r="E208" i="71" s="1"/>
  <c r="D209" i="71" s="1"/>
  <c r="C209" i="71" s="1"/>
  <c r="E209" i="71" s="1"/>
  <c r="D210" i="71" s="1"/>
  <c r="C210" i="71" s="1"/>
  <c r="E210" i="71" s="1"/>
  <c r="D211" i="71" s="1"/>
  <c r="C211" i="71" s="1"/>
  <c r="E211" i="71" s="1"/>
  <c r="D212" i="71" s="1"/>
  <c r="C212" i="71" s="1"/>
  <c r="E212" i="71" s="1"/>
  <c r="D213" i="71" s="1"/>
  <c r="C213" i="71" s="1"/>
  <c r="E213" i="71" s="1"/>
  <c r="D214" i="71" s="1"/>
  <c r="C214" i="71" s="1"/>
  <c r="E214" i="71" s="1"/>
  <c r="D215" i="71" s="1"/>
  <c r="C215" i="71" s="1"/>
  <c r="E215" i="71" s="1"/>
  <c r="D216" i="71" s="1"/>
  <c r="C216" i="71" s="1"/>
  <c r="E216" i="71" s="1"/>
  <c r="D217" i="71" s="1"/>
  <c r="C217" i="71" s="1"/>
  <c r="E217" i="71" s="1"/>
  <c r="D218" i="71" s="1"/>
  <c r="C218" i="71" s="1"/>
  <c r="E218" i="71" s="1"/>
  <c r="D219" i="71" s="1"/>
  <c r="C219" i="71" s="1"/>
  <c r="E219" i="71" s="1"/>
  <c r="D220" i="71" s="1"/>
  <c r="C220" i="71" s="1"/>
  <c r="E220" i="71" s="1"/>
  <c r="D221" i="71" s="1"/>
  <c r="C221" i="71" s="1"/>
  <c r="E221" i="71" s="1"/>
  <c r="D222" i="71" s="1"/>
  <c r="C222" i="71" s="1"/>
  <c r="E222" i="71" s="1"/>
  <c r="D223" i="71" s="1"/>
  <c r="C223" i="71" s="1"/>
  <c r="E223" i="71" s="1"/>
  <c r="D224" i="71" s="1"/>
  <c r="C224" i="71" s="1"/>
  <c r="E224" i="71" s="1"/>
  <c r="D225" i="71" s="1"/>
  <c r="C225" i="71" s="1"/>
  <c r="E225" i="71" s="1"/>
  <c r="D226" i="71" s="1"/>
  <c r="C226" i="71" s="1"/>
  <c r="E226" i="71" s="1"/>
  <c r="D227" i="71" s="1"/>
  <c r="C227" i="71" s="1"/>
  <c r="E227" i="71" s="1"/>
  <c r="D228" i="71" s="1"/>
  <c r="C228" i="71" s="1"/>
  <c r="E228" i="71" s="1"/>
  <c r="D229" i="71" s="1"/>
  <c r="C229" i="71" s="1"/>
  <c r="E229" i="71" s="1"/>
  <c r="D230" i="71" s="1"/>
  <c r="C230" i="71" s="1"/>
  <c r="E230" i="71" s="1"/>
  <c r="D231" i="71" s="1"/>
  <c r="C231" i="71" s="1"/>
  <c r="E231" i="71" s="1"/>
  <c r="D232" i="71" s="1"/>
  <c r="C232" i="71" s="1"/>
  <c r="E232" i="71" s="1"/>
  <c r="D233" i="71" s="1"/>
  <c r="C233" i="71" s="1"/>
  <c r="E233" i="71" s="1"/>
  <c r="D234" i="71" s="1"/>
  <c r="C234" i="71" s="1"/>
  <c r="E234" i="71" s="1"/>
  <c r="D235" i="71" s="1"/>
  <c r="C235" i="71" s="1"/>
  <c r="E235" i="71" s="1"/>
  <c r="D236" i="71" s="1"/>
  <c r="C236" i="71" s="1"/>
  <c r="E236" i="71" s="1"/>
  <c r="D237" i="71" s="1"/>
  <c r="C237" i="71" s="1"/>
  <c r="E237" i="71" s="1"/>
  <c r="D238" i="71" s="1"/>
  <c r="C238" i="71" s="1"/>
  <c r="E238" i="71" s="1"/>
  <c r="D239" i="71" s="1"/>
  <c r="C239" i="71" s="1"/>
  <c r="E239" i="71" s="1"/>
  <c r="D240" i="71" s="1"/>
  <c r="C240" i="71" s="1"/>
  <c r="E240" i="71" s="1"/>
  <c r="D241" i="71" s="1"/>
  <c r="C241" i="71" s="1"/>
  <c r="E241" i="71" s="1"/>
  <c r="D242" i="71" s="1"/>
  <c r="C242" i="71" s="1"/>
  <c r="E242" i="71" s="1"/>
  <c r="D243" i="71" s="1"/>
  <c r="C243" i="71" s="1"/>
  <c r="E243" i="71" s="1"/>
  <c r="D244" i="71" s="1"/>
  <c r="C244" i="71" s="1"/>
  <c r="E244" i="71" s="1"/>
  <c r="D245" i="71" s="1"/>
  <c r="C245" i="71" s="1"/>
  <c r="E245" i="71" s="1"/>
  <c r="D246" i="71" s="1"/>
  <c r="C246" i="71" s="1"/>
  <c r="E246" i="71" s="1"/>
  <c r="D247" i="71" s="1"/>
  <c r="C247" i="71" s="1"/>
  <c r="E247" i="71" s="1"/>
  <c r="D248" i="71" s="1"/>
  <c r="C248" i="71" s="1"/>
  <c r="E248" i="71" s="1"/>
  <c r="D249" i="71" s="1"/>
  <c r="C249" i="71" s="1"/>
  <c r="E249" i="71" s="1"/>
  <c r="D250" i="71" s="1"/>
  <c r="C250" i="71" s="1"/>
  <c r="E250" i="71" s="1"/>
  <c r="D251" i="71" s="1"/>
  <c r="C251" i="71" s="1"/>
  <c r="E251" i="71" s="1"/>
  <c r="D252" i="71" s="1"/>
  <c r="C252" i="71" s="1"/>
  <c r="E252" i="71" s="1"/>
  <c r="D253" i="71" s="1"/>
  <c r="C253" i="71" s="1"/>
  <c r="E253" i="71" s="1"/>
  <c r="D254" i="71" s="1"/>
  <c r="C254" i="71" s="1"/>
  <c r="E254" i="71" s="1"/>
  <c r="D255" i="71" s="1"/>
  <c r="C255" i="71" s="1"/>
  <c r="E255" i="71" s="1"/>
  <c r="D256" i="71" s="1"/>
  <c r="C256" i="71" s="1"/>
  <c r="E256" i="71" s="1"/>
  <c r="D257" i="71" s="1"/>
  <c r="C257" i="71" s="1"/>
  <c r="E257" i="71" s="1"/>
  <c r="D258" i="71" s="1"/>
  <c r="C258" i="71" s="1"/>
  <c r="E258" i="71" s="1"/>
  <c r="D259" i="71" s="1"/>
  <c r="C259" i="71" s="1"/>
  <c r="E259" i="71" s="1"/>
  <c r="D260" i="71" s="1"/>
  <c r="C260" i="71" s="1"/>
  <c r="E260" i="71" s="1"/>
  <c r="D261" i="71" s="1"/>
  <c r="C261" i="71" s="1"/>
  <c r="E261" i="71" s="1"/>
  <c r="D262" i="71" s="1"/>
  <c r="C262" i="71" s="1"/>
  <c r="E262" i="71" s="1"/>
  <c r="D263" i="71" s="1"/>
  <c r="C263" i="71" s="1"/>
  <c r="E263" i="71" s="1"/>
  <c r="D44" i="41"/>
  <c r="D264" i="71" l="1"/>
  <c r="C264" i="71" s="1"/>
  <c r="E264" i="71" s="1"/>
  <c r="D265" i="71" s="1"/>
  <c r="C265" i="71" s="1"/>
  <c r="E265" i="71" s="1"/>
  <c r="D266" i="71" s="1"/>
  <c r="C266" i="71" s="1"/>
  <c r="E266" i="71" s="1"/>
  <c r="D267" i="71" s="1"/>
  <c r="C267" i="71" s="1"/>
  <c r="E267" i="71" s="1"/>
  <c r="D268" i="71" s="1"/>
  <c r="C268" i="71" s="1"/>
  <c r="E268" i="71" s="1"/>
  <c r="D269" i="71" s="1"/>
  <c r="C269" i="71" s="1"/>
  <c r="E269" i="71" s="1"/>
  <c r="D270" i="71" s="1"/>
  <c r="C270" i="71" s="1"/>
  <c r="E270" i="71" s="1"/>
  <c r="C44" i="41"/>
  <c r="E44" i="41" s="1"/>
  <c r="D271" i="71" l="1"/>
  <c r="C271" i="71" s="1"/>
  <c r="E271" i="71" s="1"/>
  <c r="D272" i="71" s="1"/>
  <c r="C272" i="71" s="1"/>
  <c r="E272" i="71" s="1"/>
  <c r="D273" i="71" s="1"/>
  <c r="C273" i="71" s="1"/>
  <c r="E273" i="71" s="1"/>
  <c r="D274" i="71" s="1"/>
  <c r="C274" i="71" s="1"/>
  <c r="E274" i="71" s="1"/>
  <c r="D275" i="71" s="1"/>
  <c r="C275" i="71" s="1"/>
  <c r="E275" i="71" s="1"/>
  <c r="D276" i="71" s="1"/>
  <c r="C276" i="71" s="1"/>
  <c r="E276" i="71" s="1"/>
  <c r="D277" i="71" s="1"/>
  <c r="C277" i="71" s="1"/>
  <c r="E277" i="71" s="1"/>
  <c r="D278" i="71" s="1"/>
  <c r="C278" i="71" s="1"/>
  <c r="E278" i="71" s="1"/>
  <c r="D279" i="71" s="1"/>
  <c r="C279" i="71" s="1"/>
  <c r="E279" i="71" s="1"/>
  <c r="D280" i="71" s="1"/>
  <c r="C280" i="71" s="1"/>
  <c r="E280" i="71" s="1"/>
  <c r="D281" i="71" s="1"/>
  <c r="C281" i="71" s="1"/>
  <c r="E281" i="71" s="1"/>
  <c r="D282" i="71" s="1"/>
  <c r="C282" i="71" s="1"/>
  <c r="E282" i="71" s="1"/>
  <c r="D283" i="71" s="1"/>
  <c r="C283" i="71" s="1"/>
  <c r="E283" i="71" s="1"/>
  <c r="D284" i="71" s="1"/>
  <c r="C284" i="71" s="1"/>
  <c r="E284" i="71" s="1"/>
  <c r="D285" i="71" s="1"/>
  <c r="C285" i="71" s="1"/>
  <c r="E285" i="71" s="1"/>
  <c r="D286" i="71" s="1"/>
  <c r="C286" i="71" s="1"/>
  <c r="E286" i="71" s="1"/>
  <c r="D287" i="71" s="1"/>
  <c r="C287" i="71" s="1"/>
  <c r="E287" i="71" s="1"/>
  <c r="D45" i="41"/>
  <c r="D288" i="71" l="1"/>
  <c r="C288" i="71" s="1"/>
  <c r="E288" i="71" s="1"/>
  <c r="D289" i="71" s="1"/>
  <c r="C289" i="71" s="1"/>
  <c r="E289" i="71" s="1"/>
  <c r="D290" i="71" s="1"/>
  <c r="C290" i="71" s="1"/>
  <c r="E290" i="71" s="1"/>
  <c r="D291" i="71" s="1"/>
  <c r="C291" i="71" s="1"/>
  <c r="E291" i="71" s="1"/>
  <c r="D292" i="71" s="1"/>
  <c r="C292" i="71" s="1"/>
  <c r="E292" i="71" s="1"/>
  <c r="D293" i="71" s="1"/>
  <c r="C293" i="71" s="1"/>
  <c r="E293" i="71" s="1"/>
  <c r="D294" i="71" s="1"/>
  <c r="C294" i="71" s="1"/>
  <c r="E294" i="71" s="1"/>
  <c r="D295" i="71" s="1"/>
  <c r="C295" i="71" s="1"/>
  <c r="E295" i="71" s="1"/>
  <c r="D296" i="71" s="1"/>
  <c r="C296" i="71" s="1"/>
  <c r="E296" i="71" s="1"/>
  <c r="D297" i="71" s="1"/>
  <c r="C297" i="71" s="1"/>
  <c r="E297" i="71" s="1"/>
  <c r="D298" i="71" s="1"/>
  <c r="C298" i="71" s="1"/>
  <c r="E298" i="71" s="1"/>
  <c r="D299" i="71" s="1"/>
  <c r="C299" i="71" s="1"/>
  <c r="E299" i="71" s="1"/>
  <c r="D300" i="71" s="1"/>
  <c r="C300" i="71" s="1"/>
  <c r="E300" i="71" s="1"/>
  <c r="D301" i="71" s="1"/>
  <c r="C301" i="71" s="1"/>
  <c r="E301" i="71" s="1"/>
  <c r="D302" i="71" s="1"/>
  <c r="C302" i="71" s="1"/>
  <c r="E302" i="71" s="1"/>
  <c r="D303" i="71" s="1"/>
  <c r="C303" i="71" s="1"/>
  <c r="E303" i="71" s="1"/>
  <c r="D304" i="71" s="1"/>
  <c r="C304" i="71" s="1"/>
  <c r="E304" i="71" s="1"/>
  <c r="D305" i="71" s="1"/>
  <c r="C305" i="71" s="1"/>
  <c r="E305" i="71" s="1"/>
  <c r="D306" i="71" s="1"/>
  <c r="C306" i="71" s="1"/>
  <c r="E306" i="71" s="1"/>
  <c r="D307" i="71" s="1"/>
  <c r="C307" i="71" s="1"/>
  <c r="E307" i="71" s="1"/>
  <c r="D308" i="71" s="1"/>
  <c r="C308" i="71" s="1"/>
  <c r="E308" i="71" s="1"/>
  <c r="D309" i="71" s="1"/>
  <c r="C309" i="71" s="1"/>
  <c r="E309" i="71" s="1"/>
  <c r="D310" i="71" s="1"/>
  <c r="C310" i="71" s="1"/>
  <c r="E310" i="71" s="1"/>
  <c r="D311" i="71" s="1"/>
  <c r="C311" i="71" s="1"/>
  <c r="E311" i="71" s="1"/>
  <c r="D312" i="71" s="1"/>
  <c r="C312" i="71" s="1"/>
  <c r="E312" i="71" s="1"/>
  <c r="D313" i="71" s="1"/>
  <c r="C313" i="71" s="1"/>
  <c r="E313" i="71" s="1"/>
  <c r="D314" i="71" s="1"/>
  <c r="C314" i="71" s="1"/>
  <c r="E314" i="71" s="1"/>
  <c r="D315" i="71" s="1"/>
  <c r="C315" i="71" s="1"/>
  <c r="E315" i="71" s="1"/>
  <c r="D316" i="71" s="1"/>
  <c r="C316" i="71" s="1"/>
  <c r="E316" i="71" s="1"/>
  <c r="D317" i="71" s="1"/>
  <c r="C317" i="71" s="1"/>
  <c r="E317" i="71" s="1"/>
  <c r="C45" i="41"/>
  <c r="E45" i="41" s="1"/>
  <c r="D46" i="41" l="1"/>
  <c r="C46" i="41" l="1"/>
  <c r="E46" i="41" s="1"/>
  <c r="D47" i="41" l="1"/>
  <c r="C47" i="41" l="1"/>
  <c r="E47" i="41" s="1"/>
  <c r="D48" i="41" l="1"/>
  <c r="C48" i="41" l="1"/>
  <c r="E48" i="41" s="1"/>
  <c r="D49" i="41" l="1"/>
  <c r="C49" i="41" l="1"/>
  <c r="E49" i="41" s="1"/>
  <c r="D50" i="41" l="1"/>
  <c r="C50" i="41" l="1"/>
  <c r="E50" i="41" s="1"/>
  <c r="D51" i="41" l="1"/>
  <c r="C51" i="41" l="1"/>
  <c r="E51" i="41" s="1"/>
  <c r="D52" i="41" l="1"/>
  <c r="C52" i="41" l="1"/>
  <c r="E52" i="41" s="1"/>
  <c r="D53" i="41" l="1"/>
  <c r="C53" i="41" l="1"/>
  <c r="E53" i="41" s="1"/>
  <c r="D54" i="41" l="1"/>
  <c r="C54" i="41" l="1"/>
  <c r="E54" i="41" s="1"/>
  <c r="D55" i="41" l="1"/>
  <c r="C55" i="41" l="1"/>
  <c r="E55" i="41" s="1"/>
  <c r="D56" i="41" l="1"/>
  <c r="C56" i="41" l="1"/>
  <c r="E56" i="41" s="1"/>
  <c r="D57" i="41" l="1"/>
  <c r="C57" i="41" l="1"/>
  <c r="E57" i="41" s="1"/>
  <c r="D58" i="41" l="1"/>
  <c r="C58" i="41" l="1"/>
  <c r="E58" i="41" s="1"/>
  <c r="D59" i="41" l="1"/>
  <c r="C59" i="41" l="1"/>
  <c r="E59" i="41" s="1"/>
  <c r="D60" i="41" l="1"/>
  <c r="C60" i="41" l="1"/>
  <c r="E60" i="41" s="1"/>
  <c r="D61" i="41" l="1"/>
  <c r="C61" i="41" l="1"/>
  <c r="E61" i="41" s="1"/>
  <c r="D62" i="41" l="1"/>
  <c r="C62" i="41" l="1"/>
  <c r="E62" i="41" s="1"/>
  <c r="D63" i="41" l="1"/>
  <c r="C63" i="41" l="1"/>
  <c r="E63" i="41" s="1"/>
  <c r="D64" i="41" l="1"/>
  <c r="C64" i="41" l="1"/>
  <c r="E64" i="41" s="1"/>
  <c r="D65" i="41" l="1"/>
  <c r="C65" i="41" l="1"/>
  <c r="E65" i="41" s="1"/>
  <c r="D66" i="41" l="1"/>
  <c r="C66" i="41" l="1"/>
  <c r="E66" i="41" s="1"/>
  <c r="D67" i="41" l="1"/>
  <c r="C67" i="41" l="1"/>
  <c r="E67" i="41" s="1"/>
  <c r="D68" i="41" l="1"/>
  <c r="C68" i="41" l="1"/>
  <c r="E68" i="41" s="1"/>
  <c r="D69" i="41" l="1"/>
  <c r="C69" i="41" l="1"/>
  <c r="E69" i="41" s="1"/>
  <c r="D70" i="41" l="1"/>
  <c r="C70" i="41" l="1"/>
  <c r="E70" i="41" s="1"/>
  <c r="D71" i="41" l="1"/>
  <c r="C71" i="41" l="1"/>
  <c r="E71" i="41" s="1"/>
  <c r="D72" i="41" l="1"/>
  <c r="C72" i="41" l="1"/>
  <c r="E72" i="41" s="1"/>
  <c r="D73" i="41" l="1"/>
  <c r="C73" i="41" l="1"/>
  <c r="E73" i="41" s="1"/>
  <c r="D74" i="41" l="1"/>
  <c r="C74" i="41" l="1"/>
  <c r="E74" i="41" s="1"/>
  <c r="D75" i="41" l="1"/>
  <c r="C75" i="41" l="1"/>
  <c r="E75" i="41" s="1"/>
  <c r="D76" i="41" l="1"/>
  <c r="C76" i="41" l="1"/>
  <c r="E76" i="41" s="1"/>
  <c r="D77" i="41" l="1"/>
  <c r="C77" i="41" l="1"/>
  <c r="E77" i="41" s="1"/>
  <c r="D78" i="41" l="1"/>
  <c r="C78" i="41" l="1"/>
  <c r="E78" i="41" s="1"/>
  <c r="D79" i="41" l="1"/>
  <c r="C79" i="41" l="1"/>
  <c r="E79" i="41" s="1"/>
  <c r="D80" i="41" l="1"/>
  <c r="C80" i="41" l="1"/>
  <c r="E80" i="41" s="1"/>
  <c r="D81" i="41" l="1"/>
  <c r="C81" i="41" l="1"/>
  <c r="E81" i="41" s="1"/>
  <c r="D82" i="41" l="1"/>
  <c r="C82" i="41" l="1"/>
  <c r="E82" i="41" s="1"/>
  <c r="D83" i="41" l="1"/>
  <c r="C83" i="41" l="1"/>
  <c r="E83" i="41" s="1"/>
  <c r="D84" i="41" l="1"/>
  <c r="C84" i="41" l="1"/>
  <c r="E84" i="41" s="1"/>
  <c r="D85" i="41" l="1"/>
  <c r="C85" i="41" l="1"/>
  <c r="E85" i="41" s="1"/>
  <c r="D86" i="41" s="1"/>
  <c r="C86" i="41" l="1"/>
  <c r="E86" i="41" s="1"/>
  <c r="D87" i="41" l="1"/>
  <c r="C87" i="41" l="1"/>
  <c r="E87" i="41" s="1"/>
  <c r="D88" i="41" l="1"/>
  <c r="C88" i="41" l="1"/>
  <c r="E88" i="41" s="1"/>
  <c r="D89" i="41" l="1"/>
  <c r="C89" i="41" l="1"/>
  <c r="E89" i="41" s="1"/>
  <c r="D90" i="41" l="1"/>
  <c r="C90" i="41" l="1"/>
  <c r="E90" i="41" s="1"/>
  <c r="D91" i="41" l="1"/>
  <c r="C91" i="41" l="1"/>
  <c r="E91" i="41" s="1"/>
  <c r="D92" i="41" l="1"/>
  <c r="C92" i="41" l="1"/>
  <c r="E92" i="41" s="1"/>
  <c r="D93" i="41" l="1"/>
  <c r="C93" i="41" l="1"/>
  <c r="E93" i="41" s="1"/>
  <c r="D94" i="41" l="1"/>
  <c r="C94" i="41" l="1"/>
  <c r="E94" i="41" s="1"/>
  <c r="D95" i="41" l="1"/>
  <c r="C95" i="41" l="1"/>
  <c r="E95" i="41" s="1"/>
  <c r="D96" i="41" l="1"/>
  <c r="C96" i="41" l="1"/>
  <c r="E96" i="41" s="1"/>
  <c r="D97" i="41" l="1"/>
  <c r="C97" i="41" l="1"/>
  <c r="E97" i="41" s="1"/>
  <c r="D98" i="41" l="1"/>
  <c r="C98" i="41" l="1"/>
  <c r="E98" i="41" s="1"/>
  <c r="D99" i="41" l="1"/>
  <c r="C99" i="41" l="1"/>
  <c r="E99" i="41" s="1"/>
  <c r="D100" i="41" l="1"/>
  <c r="C100" i="41" l="1"/>
  <c r="E100" i="41" s="1"/>
  <c r="D101" i="41" l="1"/>
  <c r="C101" i="41" l="1"/>
  <c r="E101" i="41" s="1"/>
  <c r="D102" i="41" l="1"/>
  <c r="C102" i="41" l="1"/>
  <c r="E102" i="41" s="1"/>
  <c r="D103" i="41" l="1"/>
  <c r="C103" i="41" l="1"/>
  <c r="E103" i="41" s="1"/>
  <c r="D104" i="41" l="1"/>
  <c r="C104" i="41" l="1"/>
  <c r="E104" i="41" s="1"/>
  <c r="D105" i="41" l="1"/>
  <c r="C105" i="41" l="1"/>
  <c r="E105" i="41" s="1"/>
  <c r="D106" i="41" l="1"/>
  <c r="C106" i="41" l="1"/>
  <c r="E106" i="41" s="1"/>
  <c r="D107" i="41" l="1"/>
  <c r="C107" i="41" l="1"/>
  <c r="E107" i="41" s="1"/>
  <c r="D108" i="41" l="1"/>
  <c r="C108" i="41" l="1"/>
  <c r="E108" i="41" s="1"/>
  <c r="D109" i="41" l="1"/>
  <c r="C109" i="41" l="1"/>
  <c r="E109" i="41" s="1"/>
  <c r="D110" i="41" l="1"/>
  <c r="C110" i="41" l="1"/>
  <c r="E110" i="41" s="1"/>
  <c r="D111" i="41" l="1"/>
  <c r="C111" i="41" l="1"/>
  <c r="E111" i="41" s="1"/>
  <c r="D112" i="41" l="1"/>
  <c r="C112" i="41" l="1"/>
  <c r="E112" i="41" s="1"/>
  <c r="D113" i="41" l="1"/>
  <c r="C113" i="41" l="1"/>
  <c r="E113" i="41" s="1"/>
  <c r="D114" i="41" l="1"/>
  <c r="C114" i="41" l="1"/>
  <c r="E114" i="41" s="1"/>
  <c r="D115" i="41" l="1"/>
  <c r="C115" i="41" l="1"/>
  <c r="E115" i="41" s="1"/>
  <c r="D116" i="41" l="1"/>
  <c r="C116" i="41" l="1"/>
  <c r="E116" i="41" s="1"/>
  <c r="D117" i="41" l="1"/>
  <c r="C117" i="41" l="1"/>
  <c r="E117" i="41" s="1"/>
  <c r="D118" i="41" l="1"/>
  <c r="C118" i="41" l="1"/>
  <c r="E118" i="41" s="1"/>
  <c r="D119" i="41" l="1"/>
  <c r="C119" i="41" l="1"/>
  <c r="E119" i="41" s="1"/>
  <c r="D120" i="41" l="1"/>
  <c r="C120" i="41" l="1"/>
  <c r="E120" i="41" s="1"/>
  <c r="D121" i="41" l="1"/>
  <c r="C121" i="41" l="1"/>
  <c r="E121" i="41" s="1"/>
  <c r="D122" i="41" l="1"/>
  <c r="C122" i="41" l="1"/>
  <c r="E122" i="41" s="1"/>
  <c r="D123" i="41" l="1"/>
  <c r="C123" i="41" l="1"/>
  <c r="E123" i="41" s="1"/>
  <c r="D124" i="41" l="1"/>
  <c r="C124" i="41" l="1"/>
  <c r="E124" i="41" s="1"/>
  <c r="D125" i="41" l="1"/>
  <c r="C125" i="41" l="1"/>
  <c r="E125" i="41" s="1"/>
  <c r="D126" i="41" l="1"/>
  <c r="C126" i="41" l="1"/>
  <c r="E126" i="41" s="1"/>
  <c r="D127" i="41" l="1"/>
  <c r="C127" i="41" l="1"/>
  <c r="E127" i="41" s="1"/>
  <c r="D128" i="41" l="1"/>
  <c r="C128" i="41" l="1"/>
  <c r="E128" i="41" s="1"/>
  <c r="D129" i="41" l="1"/>
  <c r="C129" i="41" l="1"/>
  <c r="E129" i="41" s="1"/>
  <c r="D130" i="41" l="1"/>
  <c r="C130" i="41" l="1"/>
  <c r="E130" i="41" s="1"/>
  <c r="D131" i="41" l="1"/>
  <c r="C131" i="41" l="1"/>
  <c r="E131" i="41" s="1"/>
  <c r="D132" i="41" l="1"/>
  <c r="C132" i="41" l="1"/>
  <c r="E132" i="41" s="1"/>
  <c r="D133" i="41" l="1"/>
  <c r="C133" i="41" l="1"/>
  <c r="E133" i="41" s="1"/>
  <c r="D134" i="41" l="1"/>
  <c r="C134" i="41" l="1"/>
  <c r="E134" i="41" s="1"/>
  <c r="D135" i="41" l="1"/>
  <c r="C135" i="41" l="1"/>
  <c r="E135" i="41" s="1"/>
  <c r="D136" i="41" l="1"/>
  <c r="C136" i="41" l="1"/>
  <c r="E136" i="41" s="1"/>
  <c r="D137" i="41" l="1"/>
  <c r="C137" i="41" l="1"/>
  <c r="E137" i="41" s="1"/>
  <c r="D138" i="41" l="1"/>
  <c r="C138" i="41" l="1"/>
  <c r="E138" i="41" s="1"/>
  <c r="D139" i="41" l="1"/>
  <c r="C139" i="41" l="1"/>
  <c r="E139" i="41" s="1"/>
  <c r="D140" i="41" l="1"/>
  <c r="C140" i="41" l="1"/>
  <c r="E140" i="41" s="1"/>
  <c r="D141" i="41" l="1"/>
  <c r="C141" i="41" l="1"/>
  <c r="E141" i="41" s="1"/>
  <c r="D142" i="41" l="1"/>
  <c r="C142" i="41" l="1"/>
  <c r="E142" i="41" s="1"/>
  <c r="D143" i="41" l="1"/>
  <c r="C143" i="41" l="1"/>
  <c r="E143" i="41" s="1"/>
  <c r="D144" i="41" l="1"/>
  <c r="C144" i="41" l="1"/>
  <c r="E144" i="41" s="1"/>
  <c r="D145" i="41" l="1"/>
  <c r="C145" i="41" l="1"/>
  <c r="E145" i="41" s="1"/>
  <c r="D146" i="41" l="1"/>
  <c r="C146" i="41" l="1"/>
  <c r="E146" i="41" s="1"/>
  <c r="D147" i="41" l="1"/>
  <c r="C147" i="41" l="1"/>
  <c r="E147" i="41" s="1"/>
  <c r="D148" i="41" l="1"/>
  <c r="C148" i="41" l="1"/>
  <c r="E148" i="41" s="1"/>
  <c r="D149" i="41" l="1"/>
  <c r="C149" i="41" l="1"/>
  <c r="E149" i="41" s="1"/>
  <c r="D150" i="41" l="1"/>
  <c r="C150" i="41" l="1"/>
  <c r="E150" i="41" s="1"/>
  <c r="D151" i="41" l="1"/>
  <c r="C151" i="41" l="1"/>
  <c r="E151" i="41" s="1"/>
  <c r="D152" i="41" l="1"/>
  <c r="C152" i="41" l="1"/>
  <c r="E152" i="41" s="1"/>
  <c r="D153" i="41" l="1"/>
  <c r="C153" i="41" l="1"/>
  <c r="E153" i="41" s="1"/>
  <c r="D154" i="41" l="1"/>
  <c r="C154" i="41" l="1"/>
  <c r="E154" i="41" s="1"/>
  <c r="D155" i="41" l="1"/>
  <c r="C155" i="41" l="1"/>
  <c r="E155" i="41" s="1"/>
  <c r="D156" i="41" l="1"/>
  <c r="C156" i="41" l="1"/>
  <c r="E156" i="41" s="1"/>
  <c r="D157" i="41" l="1"/>
  <c r="C157" i="41" l="1"/>
  <c r="E157" i="41" s="1"/>
  <c r="D158" i="41" l="1"/>
  <c r="C158" i="41" l="1"/>
  <c r="E158" i="41" s="1"/>
  <c r="D159" i="41" l="1"/>
  <c r="C159" i="41" l="1"/>
  <c r="E159" i="41" s="1"/>
  <c r="D160" i="41" l="1"/>
  <c r="C160" i="41" l="1"/>
  <c r="E160" i="41" s="1"/>
  <c r="D161" i="41" l="1"/>
  <c r="C161" i="41" l="1"/>
  <c r="E161" i="41" s="1"/>
  <c r="D162" i="41" l="1"/>
  <c r="C162" i="41" l="1"/>
  <c r="E162" i="41" s="1"/>
  <c r="D163" i="41" l="1"/>
  <c r="C163" i="41" l="1"/>
  <c r="E163" i="41" s="1"/>
  <c r="D164" i="41" l="1"/>
  <c r="C164" i="41" l="1"/>
  <c r="E164" i="41" s="1"/>
  <c r="D165" i="41" l="1"/>
  <c r="C165" i="41" l="1"/>
  <c r="E165" i="41" s="1"/>
  <c r="D166" i="41" l="1"/>
  <c r="C166" i="41" l="1"/>
  <c r="E166" i="41" s="1"/>
  <c r="D167" i="41" l="1"/>
  <c r="C167" i="41" l="1"/>
  <c r="E167" i="41" s="1"/>
  <c r="D168" i="41" l="1"/>
  <c r="C168" i="41" l="1"/>
  <c r="E168" i="41" s="1"/>
  <c r="D169" i="41" l="1"/>
  <c r="C169" i="41" l="1"/>
  <c r="E169" i="41" s="1"/>
  <c r="D170" i="41" l="1"/>
  <c r="C170" i="41" l="1"/>
  <c r="E170" i="41" s="1"/>
  <c r="D171" i="41" l="1"/>
  <c r="C171" i="41" l="1"/>
  <c r="E171" i="41" s="1"/>
  <c r="D172" i="41" l="1"/>
  <c r="B4" i="32"/>
  <c r="E11" i="32" s="1"/>
  <c r="E44" i="33" l="1"/>
  <c r="G44" i="33" s="1"/>
  <c r="E8" i="32"/>
  <c r="E9" i="32" s="1"/>
  <c r="E5" i="32"/>
  <c r="E6" i="32" s="1"/>
  <c r="B13" i="32"/>
  <c r="B9" i="32"/>
  <c r="E17" i="32"/>
  <c r="D18" i="32" s="1"/>
  <c r="C172" i="41"/>
  <c r="E172" i="41" s="1"/>
  <c r="E15" i="74" l="1"/>
  <c r="F43" i="33"/>
  <c r="G43" i="33" s="1"/>
  <c r="B12" i="32"/>
  <c r="B14" i="32" s="1"/>
  <c r="B73" i="32"/>
  <c r="B75" i="32"/>
  <c r="B121" i="32"/>
  <c r="B185" i="32"/>
  <c r="B67" i="32"/>
  <c r="B129" i="32"/>
  <c r="B108" i="32"/>
  <c r="B10" i="32"/>
  <c r="B33" i="32"/>
  <c r="B25" i="32"/>
  <c r="B99" i="32"/>
  <c r="B105" i="32"/>
  <c r="B139" i="32"/>
  <c r="B211" i="32"/>
  <c r="B217" i="32"/>
  <c r="B243" i="32"/>
  <c r="B307" i="32"/>
  <c r="B275" i="32"/>
  <c r="B76" i="32"/>
  <c r="B249" i="32"/>
  <c r="B123" i="32"/>
  <c r="B313" i="32"/>
  <c r="B57" i="32"/>
  <c r="B28" i="32"/>
  <c r="B100" i="32"/>
  <c r="B193" i="32"/>
  <c r="B60" i="32"/>
  <c r="B289" i="32"/>
  <c r="B203" i="32"/>
  <c r="B41" i="32"/>
  <c r="B83" i="32"/>
  <c r="B131" i="32"/>
  <c r="B235" i="32"/>
  <c r="B259" i="32"/>
  <c r="B44" i="32"/>
  <c r="B59" i="32"/>
  <c r="B92" i="32"/>
  <c r="B51" i="32"/>
  <c r="B81" i="32"/>
  <c r="B147" i="32"/>
  <c r="B89" i="32"/>
  <c r="B115" i="32"/>
  <c r="B155" i="32"/>
  <c r="B163" i="32"/>
  <c r="B52" i="32"/>
  <c r="B49" i="32"/>
  <c r="B179" i="32"/>
  <c r="B219" i="32"/>
  <c r="B195" i="32"/>
  <c r="B97" i="32"/>
  <c r="B68" i="32"/>
  <c r="B315" i="32"/>
  <c r="B227" i="32"/>
  <c r="B153" i="32"/>
  <c r="B196" i="32"/>
  <c r="B291" i="32"/>
  <c r="B35" i="32"/>
  <c r="B244" i="32"/>
  <c r="B187" i="32"/>
  <c r="B283" i="32"/>
  <c r="B19" i="32"/>
  <c r="B125" i="32"/>
  <c r="B161" i="32"/>
  <c r="B225" i="32"/>
  <c r="B61" i="32"/>
  <c r="B77" i="32"/>
  <c r="B65" i="32"/>
  <c r="B84" i="32"/>
  <c r="B107" i="32"/>
  <c r="B137" i="32"/>
  <c r="B233" i="32"/>
  <c r="B251" i="32"/>
  <c r="B297" i="32"/>
  <c r="B253" i="32"/>
  <c r="B171" i="32"/>
  <c r="B133" i="32"/>
  <c r="B173" i="32"/>
  <c r="B281" i="32"/>
  <c r="B20" i="32"/>
  <c r="B299" i="32"/>
  <c r="B43" i="32"/>
  <c r="B27" i="32"/>
  <c r="B269" i="32"/>
  <c r="B132" i="32"/>
  <c r="B212" i="32"/>
  <c r="B36" i="32"/>
  <c r="B201" i="32"/>
  <c r="B148" i="32"/>
  <c r="B188" i="32"/>
  <c r="B86" i="32"/>
  <c r="B110" i="32"/>
  <c r="B190" i="32"/>
  <c r="B260" i="32"/>
  <c r="B292" i="32"/>
  <c r="B181" i="32"/>
  <c r="B254" i="32"/>
  <c r="B169" i="32"/>
  <c r="B91" i="32"/>
  <c r="B109" i="32"/>
  <c r="B145" i="32"/>
  <c r="B117" i="32"/>
  <c r="B166" i="32"/>
  <c r="B310" i="32"/>
  <c r="B177" i="32"/>
  <c r="B300" i="32"/>
  <c r="B205" i="32"/>
  <c r="B220" i="32"/>
  <c r="B209" i="32"/>
  <c r="B316" i="32"/>
  <c r="B237" i="32"/>
  <c r="B273" i="32"/>
  <c r="B53" i="32"/>
  <c r="B245" i="32"/>
  <c r="B267" i="32"/>
  <c r="B164" i="32"/>
  <c r="B101" i="32"/>
  <c r="B309" i="32"/>
  <c r="B22" i="32"/>
  <c r="B79" i="32"/>
  <c r="B54" i="32"/>
  <c r="B135" i="32"/>
  <c r="B62" i="32"/>
  <c r="B70" i="32"/>
  <c r="B305" i="32"/>
  <c r="B21" i="32"/>
  <c r="B229" i="32"/>
  <c r="B118" i="32"/>
  <c r="B55" i="32"/>
  <c r="B29" i="32"/>
  <c r="B149" i="32"/>
  <c r="B277" i="32"/>
  <c r="B126" i="32"/>
  <c r="B151" i="32"/>
  <c r="B37" i="32"/>
  <c r="B157" i="32"/>
  <c r="B285" i="32"/>
  <c r="B134" i="32"/>
  <c r="B45" i="32"/>
  <c r="B165" i="32"/>
  <c r="B301" i="32"/>
  <c r="B150" i="32"/>
  <c r="B257" i="32"/>
  <c r="B265" i="32"/>
  <c r="B113" i="32"/>
  <c r="B228" i="32"/>
  <c r="B69" i="32"/>
  <c r="B197" i="32"/>
  <c r="B38" i="32"/>
  <c r="B230" i="32"/>
  <c r="B247" i="32"/>
  <c r="B198" i="32"/>
  <c r="B214" i="32"/>
  <c r="B141" i="32"/>
  <c r="B261" i="32"/>
  <c r="B94" i="32"/>
  <c r="B278" i="32"/>
  <c r="B167" i="32"/>
  <c r="B271" i="32"/>
  <c r="B294" i="32"/>
  <c r="B302" i="32"/>
  <c r="B221" i="32"/>
  <c r="B30" i="32"/>
  <c r="B158" i="32"/>
  <c r="B174" i="32"/>
  <c r="B116" i="32"/>
  <c r="B78" i="32"/>
  <c r="B182" i="32"/>
  <c r="B156" i="32"/>
  <c r="B241" i="32"/>
  <c r="B284" i="32"/>
  <c r="B85" i="32"/>
  <c r="B189" i="32"/>
  <c r="B293" i="32"/>
  <c r="B102" i="32"/>
  <c r="B206" i="32"/>
  <c r="B23" i="32"/>
  <c r="B252" i="32"/>
  <c r="B308" i="32"/>
  <c r="B46" i="32"/>
  <c r="B142" i="32"/>
  <c r="B270" i="32"/>
  <c r="B39" i="32"/>
  <c r="B31" i="32"/>
  <c r="B263" i="32"/>
  <c r="B222" i="32"/>
  <c r="B140" i="32"/>
  <c r="B47" i="32"/>
  <c r="B48" i="32"/>
  <c r="B64" i="32"/>
  <c r="B238" i="32"/>
  <c r="B180" i="32"/>
  <c r="B63" i="32"/>
  <c r="B246" i="32"/>
  <c r="B204" i="32"/>
  <c r="B71" i="32"/>
  <c r="B262" i="32"/>
  <c r="B236" i="32"/>
  <c r="B127" i="32"/>
  <c r="B32" i="32"/>
  <c r="B95" i="32"/>
  <c r="B111" i="32"/>
  <c r="B119" i="32"/>
  <c r="B159" i="32"/>
  <c r="B72" i="32"/>
  <c r="B104" i="32"/>
  <c r="B207" i="32"/>
  <c r="B136" i="32"/>
  <c r="B223" i="32"/>
  <c r="B231" i="32"/>
  <c r="B286" i="32"/>
  <c r="B268" i="32"/>
  <c r="B103" i="32"/>
  <c r="B255" i="32"/>
  <c r="B96" i="32"/>
  <c r="B279" i="32"/>
  <c r="B176" i="32"/>
  <c r="B175" i="32"/>
  <c r="B287" i="32"/>
  <c r="B184" i="32"/>
  <c r="B183" i="32"/>
  <c r="B295" i="32"/>
  <c r="B232" i="32"/>
  <c r="B87" i="32"/>
  <c r="B191" i="32"/>
  <c r="B303" i="32"/>
  <c r="B199" i="32"/>
  <c r="B311" i="32"/>
  <c r="B215" i="32"/>
  <c r="B24" i="32"/>
  <c r="B264" i="32"/>
  <c r="B280" i="32"/>
  <c r="B56" i="32"/>
  <c r="B26" i="32"/>
  <c r="B34" i="32"/>
  <c r="B80" i="32"/>
  <c r="B88" i="32"/>
  <c r="B18" i="32"/>
  <c r="C18" i="32" s="1"/>
  <c r="E18" i="32" s="1"/>
  <c r="D19" i="32" s="1"/>
  <c r="B112" i="32"/>
  <c r="B128" i="32"/>
  <c r="B168" i="32"/>
  <c r="B42" i="32"/>
  <c r="B152" i="32"/>
  <c r="B160" i="32"/>
  <c r="B224" i="32"/>
  <c r="B50" i="32"/>
  <c r="B58" i="32"/>
  <c r="B240" i="32"/>
  <c r="B66" i="32"/>
  <c r="B248" i="32"/>
  <c r="B256" i="32"/>
  <c r="B143" i="32"/>
  <c r="B239" i="32"/>
  <c r="B40" i="32"/>
  <c r="B144" i="32"/>
  <c r="B272" i="32"/>
  <c r="B82" i="32"/>
  <c r="B192" i="32"/>
  <c r="B288" i="32"/>
  <c r="B106" i="32"/>
  <c r="B200" i="32"/>
  <c r="B296" i="32"/>
  <c r="B138" i="32"/>
  <c r="B208" i="32"/>
  <c r="B304" i="32"/>
  <c r="B120" i="32"/>
  <c r="B216" i="32"/>
  <c r="B312" i="32"/>
  <c r="B98" i="32"/>
  <c r="B114" i="32"/>
  <c r="B170" i="32"/>
  <c r="B194" i="32"/>
  <c r="B234" i="32"/>
  <c r="B242" i="32"/>
  <c r="B74" i="32"/>
  <c r="B90" i="32"/>
  <c r="B266" i="32"/>
  <c r="B122" i="32"/>
  <c r="B130" i="32"/>
  <c r="B250" i="32"/>
  <c r="B146" i="32"/>
  <c r="B154" i="32"/>
  <c r="B274" i="32"/>
  <c r="B162" i="32"/>
  <c r="B178" i="32"/>
  <c r="B186" i="32"/>
  <c r="B282" i="32"/>
  <c r="B202" i="32"/>
  <c r="B210" i="32"/>
  <c r="B218" i="32"/>
  <c r="B226" i="32"/>
  <c r="B124" i="32"/>
  <c r="B172" i="32"/>
  <c r="B93" i="32"/>
  <c r="B258" i="32"/>
  <c r="B298" i="32"/>
  <c r="B213" i="32"/>
  <c r="B317" i="32"/>
  <c r="B290" i="32"/>
  <c r="B276" i="32"/>
  <c r="B306" i="32"/>
  <c r="B314" i="32"/>
  <c r="D173" i="41"/>
  <c r="E10" i="74" l="1"/>
  <c r="C19" i="32"/>
  <c r="E19" i="32" s="1"/>
  <c r="D20" i="32" s="1"/>
  <c r="C20" i="32" s="1"/>
  <c r="E20" i="32" s="1"/>
  <c r="D21" i="32" s="1"/>
  <c r="C21" i="32" s="1"/>
  <c r="E21" i="32" s="1"/>
  <c r="D22" i="32" s="1"/>
  <c r="C22" i="32" s="1"/>
  <c r="E22" i="32" s="1"/>
  <c r="D23" i="32" s="1"/>
  <c r="C23" i="32" s="1"/>
  <c r="E23" i="32" s="1"/>
  <c r="D24" i="32" s="1"/>
  <c r="C24" i="32" s="1"/>
  <c r="E24" i="32" s="1"/>
  <c r="D25" i="32" s="1"/>
  <c r="C25" i="32" s="1"/>
  <c r="E25" i="32" s="1"/>
  <c r="D26" i="32" s="1"/>
  <c r="C26" i="32" s="1"/>
  <c r="E26" i="32" s="1"/>
  <c r="D27" i="32" s="1"/>
  <c r="C27" i="32" s="1"/>
  <c r="E27" i="32" s="1"/>
  <c r="D28" i="32" s="1"/>
  <c r="C28" i="32" s="1"/>
  <c r="E28" i="32" s="1"/>
  <c r="D29" i="32" s="1"/>
  <c r="C29" i="32" s="1"/>
  <c r="E29" i="32" s="1"/>
  <c r="D30" i="32" s="1"/>
  <c r="C30" i="32" s="1"/>
  <c r="E30" i="32" s="1"/>
  <c r="D31" i="32" s="1"/>
  <c r="C31" i="32" s="1"/>
  <c r="E31" i="32" s="1"/>
  <c r="D32" i="32" s="1"/>
  <c r="C32" i="32" s="1"/>
  <c r="E32" i="32" s="1"/>
  <c r="D33" i="32" s="1"/>
  <c r="C33" i="32" s="1"/>
  <c r="E33" i="32" s="1"/>
  <c r="D34" i="32" s="1"/>
  <c r="C34" i="32" s="1"/>
  <c r="E34" i="32" s="1"/>
  <c r="D35" i="32" s="1"/>
  <c r="C35" i="32" s="1"/>
  <c r="E35" i="32" s="1"/>
  <c r="D36" i="32" s="1"/>
  <c r="C36" i="32" s="1"/>
  <c r="E36" i="32" s="1"/>
  <c r="D37" i="32" s="1"/>
  <c r="C37" i="32" s="1"/>
  <c r="E37" i="32" s="1"/>
  <c r="D38" i="32" s="1"/>
  <c r="C38" i="32" s="1"/>
  <c r="E38" i="32" s="1"/>
  <c r="D39" i="32" s="1"/>
  <c r="C39" i="32" s="1"/>
  <c r="E39" i="32" s="1"/>
  <c r="D40" i="32" s="1"/>
  <c r="C40" i="32" s="1"/>
  <c r="E40" i="32" s="1"/>
  <c r="D41" i="32" s="1"/>
  <c r="C41" i="32" s="1"/>
  <c r="E41" i="32" s="1"/>
  <c r="D42" i="32" s="1"/>
  <c r="C42" i="32" s="1"/>
  <c r="E42" i="32" s="1"/>
  <c r="D43" i="32" s="1"/>
  <c r="C43" i="32" s="1"/>
  <c r="E43" i="32" s="1"/>
  <c r="D44" i="32" s="1"/>
  <c r="C44" i="32" s="1"/>
  <c r="E44" i="32" s="1"/>
  <c r="D45" i="32" s="1"/>
  <c r="C45" i="32" s="1"/>
  <c r="E45" i="32" s="1"/>
  <c r="C173" i="41"/>
  <c r="E173" i="41" s="1"/>
  <c r="E14" i="74" l="1"/>
  <c r="E13" i="74"/>
  <c r="D46" i="32"/>
  <c r="C46" i="32" s="1"/>
  <c r="E46" i="32" s="1"/>
  <c r="D47" i="32" s="1"/>
  <c r="C47" i="32" s="1"/>
  <c r="E47" i="32" s="1"/>
  <c r="D48" i="32" s="1"/>
  <c r="C48" i="32" s="1"/>
  <c r="E48" i="32" s="1"/>
  <c r="D49" i="32" s="1"/>
  <c r="C49" i="32" s="1"/>
  <c r="E49" i="32" s="1"/>
  <c r="D50" i="32" s="1"/>
  <c r="C50" i="32" s="1"/>
  <c r="E50" i="32" s="1"/>
  <c r="D51" i="32" s="1"/>
  <c r="C51" i="32" s="1"/>
  <c r="E51" i="32" s="1"/>
  <c r="D52" i="32" s="1"/>
  <c r="C52" i="32" s="1"/>
  <c r="E52" i="32" s="1"/>
  <c r="D53" i="32" s="1"/>
  <c r="C53" i="32" s="1"/>
  <c r="E53" i="32" s="1"/>
  <c r="D54" i="32" s="1"/>
  <c r="C54" i="32" s="1"/>
  <c r="E54" i="32" s="1"/>
  <c r="D55" i="32" s="1"/>
  <c r="C55" i="32" s="1"/>
  <c r="E55" i="32" s="1"/>
  <c r="D56" i="32" s="1"/>
  <c r="C56" i="32" s="1"/>
  <c r="E56" i="32" s="1"/>
  <c r="D57" i="32" s="1"/>
  <c r="C57" i="32" s="1"/>
  <c r="E57" i="32" s="1"/>
  <c r="D58" i="32" s="1"/>
  <c r="C58" i="32" s="1"/>
  <c r="E58" i="32" s="1"/>
  <c r="D59" i="32" s="1"/>
  <c r="C59" i="32" s="1"/>
  <c r="E59" i="32" s="1"/>
  <c r="D60" i="32" s="1"/>
  <c r="C60" i="32" s="1"/>
  <c r="E60" i="32" s="1"/>
  <c r="D61" i="32" s="1"/>
  <c r="C61" i="32" s="1"/>
  <c r="E61" i="32" s="1"/>
  <c r="D174" i="41"/>
  <c r="E26" i="74" l="1"/>
  <c r="E25" i="74"/>
  <c r="E27" i="74"/>
  <c r="D62" i="32"/>
  <c r="C62" i="32" s="1"/>
  <c r="E62" i="32" s="1"/>
  <c r="D63" i="32" s="1"/>
  <c r="C63" i="32" s="1"/>
  <c r="E63" i="32" s="1"/>
  <c r="D64" i="32" s="1"/>
  <c r="C64" i="32" s="1"/>
  <c r="E64" i="32" s="1"/>
  <c r="D65" i="32" s="1"/>
  <c r="C65" i="32" s="1"/>
  <c r="E65" i="32" s="1"/>
  <c r="D66" i="32" s="1"/>
  <c r="C66" i="32" s="1"/>
  <c r="E66" i="32" s="1"/>
  <c r="D67" i="32" s="1"/>
  <c r="C67" i="32" s="1"/>
  <c r="E67" i="32" s="1"/>
  <c r="D68" i="32" s="1"/>
  <c r="C68" i="32" s="1"/>
  <c r="E68" i="32" s="1"/>
  <c r="C174" i="41"/>
  <c r="E174" i="41" s="1"/>
  <c r="D69" i="32" l="1"/>
  <c r="C69" i="32" s="1"/>
  <c r="E69" i="32" s="1"/>
  <c r="D70" i="32" s="1"/>
  <c r="C70" i="32" s="1"/>
  <c r="E70" i="32" s="1"/>
  <c r="D71" i="32" s="1"/>
  <c r="C71" i="32" s="1"/>
  <c r="E71" i="32" s="1"/>
  <c r="D72" i="32" s="1"/>
  <c r="C72" i="32" s="1"/>
  <c r="E72" i="32" s="1"/>
  <c r="D73" i="32" s="1"/>
  <c r="C73" i="32" s="1"/>
  <c r="E73" i="32" s="1"/>
  <c r="D74" i="32" s="1"/>
  <c r="C74" i="32" s="1"/>
  <c r="E74" i="32" s="1"/>
  <c r="D75" i="32" s="1"/>
  <c r="C75" i="32" s="1"/>
  <c r="E75" i="32" s="1"/>
  <c r="D76" i="32" s="1"/>
  <c r="C76" i="32" s="1"/>
  <c r="E76" i="32" s="1"/>
  <c r="D77" i="32" s="1"/>
  <c r="C77" i="32" s="1"/>
  <c r="E77" i="32" s="1"/>
  <c r="D78" i="32" s="1"/>
  <c r="C78" i="32" s="1"/>
  <c r="E78" i="32" s="1"/>
  <c r="D175" i="41"/>
  <c r="D79" i="32" l="1"/>
  <c r="C79" i="32" s="1"/>
  <c r="E79" i="32" s="1"/>
  <c r="D80" i="32" s="1"/>
  <c r="C80" i="32" s="1"/>
  <c r="E80" i="32" s="1"/>
  <c r="D81" i="32" s="1"/>
  <c r="C81" i="32" s="1"/>
  <c r="E81" i="32" s="1"/>
  <c r="D82" i="32" s="1"/>
  <c r="C82" i="32" s="1"/>
  <c r="E82" i="32" s="1"/>
  <c r="D83" i="32" s="1"/>
  <c r="C83" i="32" s="1"/>
  <c r="E83" i="32" s="1"/>
  <c r="C175" i="41"/>
  <c r="E175" i="41" s="1"/>
  <c r="D84" i="32" l="1"/>
  <c r="C84" i="32" s="1"/>
  <c r="E84" i="32" s="1"/>
  <c r="D176" i="41"/>
  <c r="D85" i="32" l="1"/>
  <c r="C85" i="32" s="1"/>
  <c r="E85" i="32" s="1"/>
  <c r="D86" i="32" s="1"/>
  <c r="C86" i="32" s="1"/>
  <c r="E86" i="32" s="1"/>
  <c r="D87" i="32" s="1"/>
  <c r="C87" i="32" s="1"/>
  <c r="E87" i="32" s="1"/>
  <c r="D88" i="32" s="1"/>
  <c r="C88" i="32" s="1"/>
  <c r="E88" i="32" s="1"/>
  <c r="D89" i="32" s="1"/>
  <c r="C89" i="32" s="1"/>
  <c r="E89" i="32" s="1"/>
  <c r="D90" i="32" s="1"/>
  <c r="C90" i="32" s="1"/>
  <c r="E90" i="32" s="1"/>
  <c r="D91" i="32" s="1"/>
  <c r="C91" i="32" s="1"/>
  <c r="E91" i="32" s="1"/>
  <c r="D92" i="32" s="1"/>
  <c r="C92" i="32" s="1"/>
  <c r="E92" i="32" s="1"/>
  <c r="C176" i="41"/>
  <c r="E176" i="41" s="1"/>
  <c r="D93" i="32" l="1"/>
  <c r="C93" i="32" s="1"/>
  <c r="E93" i="32" s="1"/>
  <c r="D94" i="32" s="1"/>
  <c r="C94" i="32" s="1"/>
  <c r="E94" i="32" s="1"/>
  <c r="D95" i="32" s="1"/>
  <c r="C95" i="32" s="1"/>
  <c r="E95" i="32" s="1"/>
  <c r="D96" i="32" s="1"/>
  <c r="C96" i="32" s="1"/>
  <c r="E96" i="32" s="1"/>
  <c r="D177" i="41"/>
  <c r="D97" i="32" l="1"/>
  <c r="C97" i="32" s="1"/>
  <c r="E97" i="32" s="1"/>
  <c r="D98" i="32" s="1"/>
  <c r="C98" i="32" s="1"/>
  <c r="E98" i="32" s="1"/>
  <c r="D99" i="32" s="1"/>
  <c r="C99" i="32" s="1"/>
  <c r="E99" i="32" s="1"/>
  <c r="D100" i="32" s="1"/>
  <c r="C100" i="32" s="1"/>
  <c r="E100" i="32" s="1"/>
  <c r="C177" i="41"/>
  <c r="E177" i="41" s="1"/>
  <c r="D101" i="32" l="1"/>
  <c r="C101" i="32" s="1"/>
  <c r="E101" i="32" s="1"/>
  <c r="D102" i="32" s="1"/>
  <c r="C102" i="32" s="1"/>
  <c r="E102" i="32" s="1"/>
  <c r="D103" i="32" s="1"/>
  <c r="C103" i="32" s="1"/>
  <c r="E103" i="32" s="1"/>
  <c r="D178" i="41"/>
  <c r="D104" i="32" l="1"/>
  <c r="C104" i="32" s="1"/>
  <c r="E104" i="32" s="1"/>
  <c r="D105" i="32" s="1"/>
  <c r="C105" i="32" s="1"/>
  <c r="E105" i="32" s="1"/>
  <c r="D106" i="32" s="1"/>
  <c r="C106" i="32" s="1"/>
  <c r="E106" i="32" s="1"/>
  <c r="D107" i="32" s="1"/>
  <c r="C107" i="32" s="1"/>
  <c r="E107" i="32" s="1"/>
  <c r="D108" i="32" s="1"/>
  <c r="C108" i="32" s="1"/>
  <c r="E108" i="32" s="1"/>
  <c r="D109" i="32" s="1"/>
  <c r="C109" i="32" s="1"/>
  <c r="E109" i="32" s="1"/>
  <c r="D110" i="32" s="1"/>
  <c r="C110" i="32" s="1"/>
  <c r="E110" i="32" s="1"/>
  <c r="D111" i="32" s="1"/>
  <c r="C111" i="32" s="1"/>
  <c r="E111" i="32" s="1"/>
  <c r="D112" i="32" s="1"/>
  <c r="C112" i="32" s="1"/>
  <c r="E112" i="32" s="1"/>
  <c r="D113" i="32" s="1"/>
  <c r="C113" i="32" s="1"/>
  <c r="E113" i="32" s="1"/>
  <c r="D114" i="32" s="1"/>
  <c r="C114" i="32" s="1"/>
  <c r="E114" i="32" s="1"/>
  <c r="D115" i="32" s="1"/>
  <c r="C115" i="32" s="1"/>
  <c r="E115" i="32" s="1"/>
  <c r="D116" i="32" s="1"/>
  <c r="C116" i="32" s="1"/>
  <c r="E116" i="32" s="1"/>
  <c r="C178" i="41"/>
  <c r="E178" i="41" s="1"/>
  <c r="D117" i="32" l="1"/>
  <c r="C117" i="32" s="1"/>
  <c r="E117" i="32" s="1"/>
  <c r="D118" i="32" s="1"/>
  <c r="C118" i="32" s="1"/>
  <c r="E118" i="32" s="1"/>
  <c r="D119" i="32" s="1"/>
  <c r="C119" i="32" s="1"/>
  <c r="E119" i="32" s="1"/>
  <c r="D120" i="32" s="1"/>
  <c r="C120" i="32" s="1"/>
  <c r="E120" i="32" s="1"/>
  <c r="D121" i="32" s="1"/>
  <c r="C121" i="32" s="1"/>
  <c r="E121" i="32" s="1"/>
  <c r="D122" i="32" s="1"/>
  <c r="C122" i="32" s="1"/>
  <c r="E122" i="32" s="1"/>
  <c r="D179" i="41"/>
  <c r="D123" i="32" l="1"/>
  <c r="C123" i="32" s="1"/>
  <c r="E123" i="32" s="1"/>
  <c r="D124" i="32" s="1"/>
  <c r="C124" i="32" s="1"/>
  <c r="E124" i="32" s="1"/>
  <c r="D125" i="32" s="1"/>
  <c r="C125" i="32" s="1"/>
  <c r="E125" i="32" s="1"/>
  <c r="D126" i="32" s="1"/>
  <c r="C126" i="32" s="1"/>
  <c r="E126" i="32" s="1"/>
  <c r="C179" i="41"/>
  <c r="E179" i="41" s="1"/>
  <c r="D127" i="32" l="1"/>
  <c r="C127" i="32" s="1"/>
  <c r="E127" i="32" s="1"/>
  <c r="D128" i="32" s="1"/>
  <c r="C128" i="32" s="1"/>
  <c r="E128" i="32" s="1"/>
  <c r="D180" i="41"/>
  <c r="D129" i="32" l="1"/>
  <c r="C129" i="32" s="1"/>
  <c r="E129" i="32" s="1"/>
  <c r="D130" i="32" s="1"/>
  <c r="C130" i="32" s="1"/>
  <c r="E130" i="32" s="1"/>
  <c r="D131" i="32" s="1"/>
  <c r="C131" i="32" s="1"/>
  <c r="E131" i="32" s="1"/>
  <c r="D132" i="32" s="1"/>
  <c r="C132" i="32" s="1"/>
  <c r="E132" i="32" s="1"/>
  <c r="D133" i="32" s="1"/>
  <c r="C133" i="32" s="1"/>
  <c r="E133" i="32" s="1"/>
  <c r="C180" i="41"/>
  <c r="E180" i="41" s="1"/>
  <c r="D134" i="32" l="1"/>
  <c r="C134" i="32" s="1"/>
  <c r="E134" i="32" s="1"/>
  <c r="D135" i="32" s="1"/>
  <c r="C135" i="32" s="1"/>
  <c r="E135" i="32" s="1"/>
  <c r="D136" i="32" s="1"/>
  <c r="C136" i="32" s="1"/>
  <c r="E136" i="32" s="1"/>
  <c r="D137" i="32" s="1"/>
  <c r="C137" i="32" s="1"/>
  <c r="E137" i="32" s="1"/>
  <c r="D138" i="32" s="1"/>
  <c r="C138" i="32" s="1"/>
  <c r="E138" i="32" s="1"/>
  <c r="D139" i="32" s="1"/>
  <c r="C139" i="32" s="1"/>
  <c r="E139" i="32" s="1"/>
  <c r="D140" i="32" s="1"/>
  <c r="C140" i="32" s="1"/>
  <c r="E140" i="32" s="1"/>
  <c r="D141" i="32" s="1"/>
  <c r="C141" i="32" s="1"/>
  <c r="E141" i="32" s="1"/>
  <c r="D142" i="32" s="1"/>
  <c r="C142" i="32" s="1"/>
  <c r="E142" i="32" s="1"/>
  <c r="D181" i="41"/>
  <c r="D143" i="32" l="1"/>
  <c r="C143" i="32" s="1"/>
  <c r="E143" i="32" s="1"/>
  <c r="D144" i="32" s="1"/>
  <c r="C144" i="32" s="1"/>
  <c r="E144" i="32" s="1"/>
  <c r="D145" i="32" s="1"/>
  <c r="C145" i="32" s="1"/>
  <c r="E145" i="32" s="1"/>
  <c r="D146" i="32" s="1"/>
  <c r="C146" i="32" s="1"/>
  <c r="E146" i="32" s="1"/>
  <c r="D147" i="32" s="1"/>
  <c r="C147" i="32" s="1"/>
  <c r="E147" i="32" s="1"/>
  <c r="D148" i="32" s="1"/>
  <c r="C148" i="32" s="1"/>
  <c r="E148" i="32" s="1"/>
  <c r="D149" i="32" s="1"/>
  <c r="C149" i="32" s="1"/>
  <c r="E149" i="32" s="1"/>
  <c r="D150" i="32" s="1"/>
  <c r="C150" i="32" s="1"/>
  <c r="E150" i="32" s="1"/>
  <c r="D151" i="32" s="1"/>
  <c r="C151" i="32" s="1"/>
  <c r="E151" i="32" s="1"/>
  <c r="D152" i="32" s="1"/>
  <c r="C152" i="32" s="1"/>
  <c r="E152" i="32" s="1"/>
  <c r="D153" i="32" s="1"/>
  <c r="C153" i="32" s="1"/>
  <c r="E153" i="32" s="1"/>
  <c r="D154" i="32" s="1"/>
  <c r="C154" i="32" s="1"/>
  <c r="E154" i="32" s="1"/>
  <c r="D155" i="32" s="1"/>
  <c r="C155" i="32" s="1"/>
  <c r="E155" i="32" s="1"/>
  <c r="D156" i="32" s="1"/>
  <c r="C156" i="32" s="1"/>
  <c r="E156" i="32" s="1"/>
  <c r="D157" i="32" s="1"/>
  <c r="C157" i="32" s="1"/>
  <c r="E157" i="32" s="1"/>
  <c r="C181" i="41"/>
  <c r="E181" i="41" s="1"/>
  <c r="D158" i="32" l="1"/>
  <c r="C158" i="32" s="1"/>
  <c r="E158" i="32" s="1"/>
  <c r="D159" i="32" s="1"/>
  <c r="C159" i="32" s="1"/>
  <c r="E159" i="32" s="1"/>
  <c r="D160" i="32" s="1"/>
  <c r="C160" i="32" s="1"/>
  <c r="E160" i="32" s="1"/>
  <c r="D161" i="32" s="1"/>
  <c r="C161" i="32" s="1"/>
  <c r="E161" i="32" s="1"/>
  <c r="D182" i="41"/>
  <c r="D162" i="32" l="1"/>
  <c r="C162" i="32" s="1"/>
  <c r="E162" i="32" s="1"/>
  <c r="D163" i="32" s="1"/>
  <c r="C163" i="32" s="1"/>
  <c r="E163" i="32" s="1"/>
  <c r="D164" i="32" s="1"/>
  <c r="C164" i="32" s="1"/>
  <c r="E164" i="32" s="1"/>
  <c r="D165" i="32" s="1"/>
  <c r="C165" i="32" s="1"/>
  <c r="E165" i="32" s="1"/>
  <c r="C182" i="41"/>
  <c r="E182" i="41" s="1"/>
  <c r="D166" i="32" l="1"/>
  <c r="C166" i="32" s="1"/>
  <c r="E166" i="32" s="1"/>
  <c r="D167" i="32" s="1"/>
  <c r="C167" i="32" s="1"/>
  <c r="E167" i="32" s="1"/>
  <c r="D168" i="32" s="1"/>
  <c r="C168" i="32" s="1"/>
  <c r="E168" i="32" s="1"/>
  <c r="D169" i="32" s="1"/>
  <c r="C169" i="32" s="1"/>
  <c r="E169" i="32" s="1"/>
  <c r="D170" i="32" s="1"/>
  <c r="C170" i="32" s="1"/>
  <c r="E170" i="32" s="1"/>
  <c r="D171" i="32" s="1"/>
  <c r="C171" i="32" s="1"/>
  <c r="E171" i="32" s="1"/>
  <c r="D172" i="32" s="1"/>
  <c r="C172" i="32" s="1"/>
  <c r="E172" i="32" s="1"/>
  <c r="D173" i="32" s="1"/>
  <c r="C173" i="32" s="1"/>
  <c r="E173" i="32" s="1"/>
  <c r="D174" i="32" s="1"/>
  <c r="C174" i="32" s="1"/>
  <c r="E174" i="32" s="1"/>
  <c r="D175" i="32" s="1"/>
  <c r="C175" i="32" s="1"/>
  <c r="E175" i="32" s="1"/>
  <c r="D176" i="32" s="1"/>
  <c r="C176" i="32" s="1"/>
  <c r="E176" i="32" s="1"/>
  <c r="D177" i="32" s="1"/>
  <c r="C177" i="32" s="1"/>
  <c r="E177" i="32" s="1"/>
  <c r="D183" i="41"/>
  <c r="D178" i="32" l="1"/>
  <c r="C178" i="32" s="1"/>
  <c r="E178" i="32" s="1"/>
  <c r="D179" i="32" s="1"/>
  <c r="C179" i="32" s="1"/>
  <c r="E179" i="32" s="1"/>
  <c r="D180" i="32" s="1"/>
  <c r="C180" i="32" s="1"/>
  <c r="E180" i="32" s="1"/>
  <c r="D181" i="32" s="1"/>
  <c r="C181" i="32" s="1"/>
  <c r="E181" i="32" s="1"/>
  <c r="D182" i="32" s="1"/>
  <c r="C182" i="32" s="1"/>
  <c r="E182" i="32" s="1"/>
  <c r="D183" i="32" s="1"/>
  <c r="C183" i="32" s="1"/>
  <c r="E183" i="32" s="1"/>
  <c r="D184" i="32" s="1"/>
  <c r="C184" i="32" s="1"/>
  <c r="E184" i="32" s="1"/>
  <c r="D185" i="32" s="1"/>
  <c r="C185" i="32" s="1"/>
  <c r="E185" i="32" s="1"/>
  <c r="D186" i="32" s="1"/>
  <c r="C186" i="32" s="1"/>
  <c r="E186" i="32" s="1"/>
  <c r="D187" i="32" s="1"/>
  <c r="C187" i="32" s="1"/>
  <c r="E187" i="32" s="1"/>
  <c r="D188" i="32" s="1"/>
  <c r="C188" i="32" s="1"/>
  <c r="E188" i="32" s="1"/>
  <c r="D189" i="32" s="1"/>
  <c r="C189" i="32" s="1"/>
  <c r="E189" i="32" s="1"/>
  <c r="C183" i="41"/>
  <c r="E183" i="41" s="1"/>
  <c r="D190" i="32" l="1"/>
  <c r="C190" i="32" s="1"/>
  <c r="E190" i="32" s="1"/>
  <c r="D191" i="32" s="1"/>
  <c r="C191" i="32" s="1"/>
  <c r="E191" i="32" s="1"/>
  <c r="D192" i="32" s="1"/>
  <c r="C192" i="32" s="1"/>
  <c r="E192" i="32" s="1"/>
  <c r="D193" i="32" s="1"/>
  <c r="C193" i="32" s="1"/>
  <c r="E193" i="32" s="1"/>
  <c r="D184" i="41"/>
  <c r="D194" i="32" l="1"/>
  <c r="C194" i="32" s="1"/>
  <c r="E194" i="32" s="1"/>
  <c r="D195" i="32" s="1"/>
  <c r="C195" i="32" s="1"/>
  <c r="E195" i="32" s="1"/>
  <c r="D196" i="32" s="1"/>
  <c r="C196" i="32" s="1"/>
  <c r="E196" i="32" s="1"/>
  <c r="D197" i="32" s="1"/>
  <c r="C197" i="32" s="1"/>
  <c r="E197" i="32" s="1"/>
  <c r="D198" i="32" s="1"/>
  <c r="C198" i="32" s="1"/>
  <c r="E198" i="32" s="1"/>
  <c r="D199" i="32" s="1"/>
  <c r="C199" i="32" s="1"/>
  <c r="E199" i="32" s="1"/>
  <c r="D200" i="32" s="1"/>
  <c r="C200" i="32" s="1"/>
  <c r="E200" i="32" s="1"/>
  <c r="D201" i="32" s="1"/>
  <c r="C201" i="32" s="1"/>
  <c r="E201" i="32" s="1"/>
  <c r="D202" i="32" s="1"/>
  <c r="C202" i="32" s="1"/>
  <c r="E202" i="32" s="1"/>
  <c r="D203" i="32" s="1"/>
  <c r="C203" i="32" s="1"/>
  <c r="E203" i="32" s="1"/>
  <c r="C184" i="41"/>
  <c r="E184" i="41" s="1"/>
  <c r="D204" i="32" l="1"/>
  <c r="C204" i="32" s="1"/>
  <c r="E204" i="32" s="1"/>
  <c r="D205" i="32" s="1"/>
  <c r="C205" i="32" s="1"/>
  <c r="E205" i="32" s="1"/>
  <c r="D206" i="32" s="1"/>
  <c r="C206" i="32" s="1"/>
  <c r="E206" i="32" s="1"/>
  <c r="D207" i="32" s="1"/>
  <c r="C207" i="32" s="1"/>
  <c r="E207" i="32" s="1"/>
  <c r="D208" i="32" s="1"/>
  <c r="C208" i="32" s="1"/>
  <c r="E208" i="32" s="1"/>
  <c r="D209" i="32" s="1"/>
  <c r="C209" i="32" s="1"/>
  <c r="E209" i="32" s="1"/>
  <c r="D185" i="41"/>
  <c r="D210" i="32" l="1"/>
  <c r="C210" i="32" s="1"/>
  <c r="E210" i="32" s="1"/>
  <c r="D211" i="32" s="1"/>
  <c r="C211" i="32" s="1"/>
  <c r="E211" i="32" s="1"/>
  <c r="D212" i="32" s="1"/>
  <c r="C212" i="32" s="1"/>
  <c r="E212" i="32" s="1"/>
  <c r="D213" i="32" s="1"/>
  <c r="C213" i="32" s="1"/>
  <c r="E213" i="32" s="1"/>
  <c r="D214" i="32" s="1"/>
  <c r="C214" i="32" s="1"/>
  <c r="E214" i="32" s="1"/>
  <c r="D215" i="32" s="1"/>
  <c r="C215" i="32" s="1"/>
  <c r="E215" i="32" s="1"/>
  <c r="D216" i="32" s="1"/>
  <c r="C216" i="32" s="1"/>
  <c r="E216" i="32" s="1"/>
  <c r="D217" i="32" s="1"/>
  <c r="C217" i="32" s="1"/>
  <c r="E217" i="32" s="1"/>
  <c r="D218" i="32" s="1"/>
  <c r="C218" i="32" s="1"/>
  <c r="E218" i="32" s="1"/>
  <c r="D219" i="32" s="1"/>
  <c r="C219" i="32" s="1"/>
  <c r="E219" i="32" s="1"/>
  <c r="C185" i="41"/>
  <c r="E185" i="41" s="1"/>
  <c r="D220" i="32" l="1"/>
  <c r="C220" i="32" s="1"/>
  <c r="E220" i="32" s="1"/>
  <c r="D221" i="32" s="1"/>
  <c r="C221" i="32" s="1"/>
  <c r="E221" i="32" s="1"/>
  <c r="D186" i="41"/>
  <c r="D222" i="32" l="1"/>
  <c r="C222" i="32" s="1"/>
  <c r="E222" i="32" s="1"/>
  <c r="D223" i="32" s="1"/>
  <c r="C223" i="32" s="1"/>
  <c r="E223" i="32" s="1"/>
  <c r="C186" i="41"/>
  <c r="E186" i="41" s="1"/>
  <c r="D224" i="32" l="1"/>
  <c r="C224" i="32" s="1"/>
  <c r="E224" i="32" s="1"/>
  <c r="D225" i="32" s="1"/>
  <c r="C225" i="32" s="1"/>
  <c r="E225" i="32" s="1"/>
  <c r="D226" i="32" s="1"/>
  <c r="C226" i="32" s="1"/>
  <c r="E226" i="32" s="1"/>
  <c r="D227" i="32" s="1"/>
  <c r="C227" i="32" s="1"/>
  <c r="E227" i="32" s="1"/>
  <c r="D228" i="32" s="1"/>
  <c r="C228" i="32" s="1"/>
  <c r="E228" i="32" s="1"/>
  <c r="D229" i="32" s="1"/>
  <c r="C229" i="32" s="1"/>
  <c r="E229" i="32" s="1"/>
  <c r="D230" i="32" s="1"/>
  <c r="C230" i="32" s="1"/>
  <c r="E230" i="32" s="1"/>
  <c r="D231" i="32" s="1"/>
  <c r="C231" i="32" s="1"/>
  <c r="E231" i="32" s="1"/>
  <c r="D232" i="32" s="1"/>
  <c r="C232" i="32" s="1"/>
  <c r="E232" i="32" s="1"/>
  <c r="D233" i="32" s="1"/>
  <c r="C233" i="32" s="1"/>
  <c r="E233" i="32" s="1"/>
  <c r="D234" i="32" s="1"/>
  <c r="C234" i="32" s="1"/>
  <c r="E234" i="32" s="1"/>
  <c r="D235" i="32" s="1"/>
  <c r="C235" i="32" s="1"/>
  <c r="E235" i="32" s="1"/>
  <c r="D236" i="32" s="1"/>
  <c r="C236" i="32" s="1"/>
  <c r="E236" i="32" s="1"/>
  <c r="D237" i="32" s="1"/>
  <c r="C237" i="32" s="1"/>
  <c r="E237" i="32" s="1"/>
  <c r="D187" i="41"/>
  <c r="D238" i="32" l="1"/>
  <c r="C238" i="32" s="1"/>
  <c r="E238" i="32" s="1"/>
  <c r="D239" i="32" s="1"/>
  <c r="C239" i="32" s="1"/>
  <c r="E239" i="32" s="1"/>
  <c r="D240" i="32" s="1"/>
  <c r="C240" i="32" s="1"/>
  <c r="E240" i="32" s="1"/>
  <c r="D241" i="32" s="1"/>
  <c r="C241" i="32" s="1"/>
  <c r="E241" i="32" s="1"/>
  <c r="C187" i="41"/>
  <c r="E187" i="41" s="1"/>
  <c r="D242" i="32" l="1"/>
  <c r="C242" i="32" s="1"/>
  <c r="E242" i="32" s="1"/>
  <c r="D243" i="32" s="1"/>
  <c r="C243" i="32" s="1"/>
  <c r="E243" i="32" s="1"/>
  <c r="D244" i="32" s="1"/>
  <c r="C244" i="32" s="1"/>
  <c r="E244" i="32" s="1"/>
  <c r="D245" i="32" s="1"/>
  <c r="C245" i="32" s="1"/>
  <c r="E245" i="32" s="1"/>
  <c r="D246" i="32" s="1"/>
  <c r="C246" i="32" s="1"/>
  <c r="E246" i="32" s="1"/>
  <c r="D247" i="32" s="1"/>
  <c r="C247" i="32" s="1"/>
  <c r="E247" i="32" s="1"/>
  <c r="D248" i="32" s="1"/>
  <c r="C248" i="32" s="1"/>
  <c r="E248" i="32" s="1"/>
  <c r="D249" i="32" s="1"/>
  <c r="C249" i="32" s="1"/>
  <c r="E249" i="32" s="1"/>
  <c r="D250" i="32" s="1"/>
  <c r="C250" i="32" s="1"/>
  <c r="E250" i="32" s="1"/>
  <c r="D251" i="32" s="1"/>
  <c r="C251" i="32" s="1"/>
  <c r="E251" i="32" s="1"/>
  <c r="D252" i="32" s="1"/>
  <c r="C252" i="32" s="1"/>
  <c r="E252" i="32" s="1"/>
  <c r="D188" i="41"/>
  <c r="D253" i="32" l="1"/>
  <c r="C253" i="32" s="1"/>
  <c r="E253" i="32" s="1"/>
  <c r="C188" i="41"/>
  <c r="E188" i="41" s="1"/>
  <c r="D254" i="32" l="1"/>
  <c r="C254" i="32" s="1"/>
  <c r="E254" i="32" s="1"/>
  <c r="D255" i="32" s="1"/>
  <c r="C255" i="32" s="1"/>
  <c r="E255" i="32" s="1"/>
  <c r="D256" i="32" s="1"/>
  <c r="C256" i="32" s="1"/>
  <c r="E256" i="32" s="1"/>
  <c r="D257" i="32" s="1"/>
  <c r="C257" i="32" s="1"/>
  <c r="E257" i="32" s="1"/>
  <c r="D189" i="41"/>
  <c r="D258" i="32" l="1"/>
  <c r="C258" i="32" s="1"/>
  <c r="E258" i="32" s="1"/>
  <c r="D259" i="32" s="1"/>
  <c r="C259" i="32" s="1"/>
  <c r="E259" i="32" s="1"/>
  <c r="D260" i="32" s="1"/>
  <c r="C260" i="32" s="1"/>
  <c r="E260" i="32" s="1"/>
  <c r="D261" i="32" s="1"/>
  <c r="C261" i="32" s="1"/>
  <c r="E261" i="32" s="1"/>
  <c r="D262" i="32" s="1"/>
  <c r="C262" i="32" s="1"/>
  <c r="E262" i="32" s="1"/>
  <c r="D263" i="32" s="1"/>
  <c r="C263" i="32" s="1"/>
  <c r="E263" i="32" s="1"/>
  <c r="D264" i="32" s="1"/>
  <c r="C264" i="32" s="1"/>
  <c r="E264" i="32" s="1"/>
  <c r="D265" i="32" s="1"/>
  <c r="C265" i="32" s="1"/>
  <c r="E265" i="32" s="1"/>
  <c r="D266" i="32" s="1"/>
  <c r="C266" i="32" s="1"/>
  <c r="E266" i="32" s="1"/>
  <c r="D267" i="32" s="1"/>
  <c r="C267" i="32" s="1"/>
  <c r="E267" i="32" s="1"/>
  <c r="C189" i="41"/>
  <c r="E189" i="41" s="1"/>
  <c r="D268" i="32" l="1"/>
  <c r="C268" i="32" s="1"/>
  <c r="E268" i="32" s="1"/>
  <c r="D269" i="32" s="1"/>
  <c r="C269" i="32" s="1"/>
  <c r="E269" i="32" s="1"/>
  <c r="D270" i="32" s="1"/>
  <c r="C270" i="32" s="1"/>
  <c r="E270" i="32" s="1"/>
  <c r="D271" i="32" s="1"/>
  <c r="C271" i="32" s="1"/>
  <c r="E271" i="32" s="1"/>
  <c r="D272" i="32" s="1"/>
  <c r="C272" i="32" s="1"/>
  <c r="E272" i="32" s="1"/>
  <c r="D273" i="32" s="1"/>
  <c r="C273" i="32" s="1"/>
  <c r="E273" i="32" s="1"/>
  <c r="D190" i="41"/>
  <c r="D274" i="32" l="1"/>
  <c r="C274" i="32" s="1"/>
  <c r="E274" i="32" s="1"/>
  <c r="D275" i="32" s="1"/>
  <c r="C275" i="32" s="1"/>
  <c r="E275" i="32" s="1"/>
  <c r="D276" i="32" s="1"/>
  <c r="C276" i="32" s="1"/>
  <c r="E276" i="32" s="1"/>
  <c r="D277" i="32" s="1"/>
  <c r="C277" i="32" s="1"/>
  <c r="E277" i="32" s="1"/>
  <c r="C190" i="41"/>
  <c r="D278" i="32" l="1"/>
  <c r="C278" i="32" s="1"/>
  <c r="E278" i="32" s="1"/>
  <c r="D279" i="32" s="1"/>
  <c r="C279" i="32" s="1"/>
  <c r="E279" i="32" s="1"/>
  <c r="D280" i="32" s="1"/>
  <c r="C280" i="32" s="1"/>
  <c r="E280" i="32" s="1"/>
  <c r="D281" i="32" s="1"/>
  <c r="C281" i="32" s="1"/>
  <c r="E281" i="32" s="1"/>
  <c r="E190" i="41"/>
  <c r="D282" i="32" l="1"/>
  <c r="C282" i="32" s="1"/>
  <c r="E282" i="32" s="1"/>
  <c r="D283" i="32" s="1"/>
  <c r="C283" i="32" s="1"/>
  <c r="E283" i="32" s="1"/>
  <c r="D284" i="32" s="1"/>
  <c r="C284" i="32" s="1"/>
  <c r="E284" i="32" s="1"/>
  <c r="D285" i="32" s="1"/>
  <c r="C285" i="32" s="1"/>
  <c r="E285" i="32" s="1"/>
  <c r="D286" i="32" s="1"/>
  <c r="C286" i="32" s="1"/>
  <c r="E286" i="32" s="1"/>
  <c r="D287" i="32" s="1"/>
  <c r="C287" i="32" s="1"/>
  <c r="E287" i="32" s="1"/>
  <c r="D191" i="41"/>
  <c r="C191" i="41" s="1"/>
  <c r="E191" i="41" s="1"/>
  <c r="D288" i="32" l="1"/>
  <c r="C288" i="32" s="1"/>
  <c r="E288" i="32" s="1"/>
  <c r="D289" i="32" s="1"/>
  <c r="C289" i="32" s="1"/>
  <c r="E289" i="32" s="1"/>
  <c r="D192" i="41"/>
  <c r="C192" i="41" s="1"/>
  <c r="E192" i="41" s="1"/>
  <c r="D290" i="32" l="1"/>
  <c r="C290" i="32" s="1"/>
  <c r="E290" i="32" s="1"/>
  <c r="D291" i="32" s="1"/>
  <c r="C291" i="32" s="1"/>
  <c r="E291" i="32" s="1"/>
  <c r="D292" i="32" s="1"/>
  <c r="C292" i="32" s="1"/>
  <c r="E292" i="32" s="1"/>
  <c r="D293" i="32" s="1"/>
  <c r="C293" i="32" s="1"/>
  <c r="E293" i="32" s="1"/>
  <c r="D294" i="32" s="1"/>
  <c r="C294" i="32" s="1"/>
  <c r="E294" i="32" s="1"/>
  <c r="D295" i="32" s="1"/>
  <c r="C295" i="32" s="1"/>
  <c r="E295" i="32" s="1"/>
  <c r="D296" i="32" s="1"/>
  <c r="C296" i="32" s="1"/>
  <c r="E296" i="32" s="1"/>
  <c r="D297" i="32" s="1"/>
  <c r="C297" i="32" s="1"/>
  <c r="E297" i="32" s="1"/>
  <c r="D298" i="32" s="1"/>
  <c r="C298" i="32" s="1"/>
  <c r="E298" i="32" s="1"/>
  <c r="D299" i="32" s="1"/>
  <c r="C299" i="32" s="1"/>
  <c r="E299" i="32" s="1"/>
  <c r="D300" i="32" s="1"/>
  <c r="C300" i="32" s="1"/>
  <c r="E300" i="32" s="1"/>
  <c r="D301" i="32" s="1"/>
  <c r="C301" i="32" s="1"/>
  <c r="E301" i="32" s="1"/>
  <c r="D302" i="32" s="1"/>
  <c r="C302" i="32" s="1"/>
  <c r="E302" i="32" s="1"/>
  <c r="D303" i="32" s="1"/>
  <c r="C303" i="32" s="1"/>
  <c r="E303" i="32" s="1"/>
  <c r="D304" i="32" s="1"/>
  <c r="C304" i="32" s="1"/>
  <c r="E304" i="32" s="1"/>
  <c r="D305" i="32" s="1"/>
  <c r="C305" i="32" s="1"/>
  <c r="E305" i="32" s="1"/>
  <c r="D306" i="32" s="1"/>
  <c r="C306" i="32" s="1"/>
  <c r="E306" i="32" s="1"/>
  <c r="D307" i="32" s="1"/>
  <c r="C307" i="32" s="1"/>
  <c r="E307" i="32" s="1"/>
  <c r="D308" i="32" s="1"/>
  <c r="C308" i="32" s="1"/>
  <c r="E308" i="32" s="1"/>
  <c r="D309" i="32" s="1"/>
  <c r="C309" i="32" s="1"/>
  <c r="E309" i="32" s="1"/>
  <c r="D310" i="32" s="1"/>
  <c r="C310" i="32" s="1"/>
  <c r="E310" i="32" s="1"/>
  <c r="D311" i="32" s="1"/>
  <c r="C311" i="32" s="1"/>
  <c r="E311" i="32" s="1"/>
  <c r="D312" i="32" s="1"/>
  <c r="C312" i="32" s="1"/>
  <c r="E312" i="32" s="1"/>
  <c r="D313" i="32" s="1"/>
  <c r="C313" i="32" s="1"/>
  <c r="E313" i="32" s="1"/>
  <c r="D193" i="41"/>
  <c r="C193" i="41" s="1"/>
  <c r="E193" i="41" s="1"/>
  <c r="D314" i="32" l="1"/>
  <c r="C314" i="32" s="1"/>
  <c r="E314" i="32" s="1"/>
  <c r="D315" i="32" s="1"/>
  <c r="C315" i="32" s="1"/>
  <c r="E315" i="32" s="1"/>
  <c r="D316" i="32" s="1"/>
  <c r="C316" i="32" s="1"/>
  <c r="E316" i="32" s="1"/>
  <c r="D317" i="32" s="1"/>
  <c r="C317" i="32" s="1"/>
  <c r="E317" i="32" s="1"/>
  <c r="D194" i="41"/>
  <c r="C194" i="41" l="1"/>
  <c r="E194" i="41" s="1"/>
  <c r="D195" i="41" l="1"/>
  <c r="C195" i="41" l="1"/>
  <c r="E195" i="41" s="1"/>
  <c r="D196" i="41" l="1"/>
  <c r="C196" i="41" l="1"/>
  <c r="E196" i="41" s="1"/>
  <c r="D197" i="41" l="1"/>
  <c r="C197" i="41" l="1"/>
  <c r="E197" i="41" s="1"/>
  <c r="D198" i="41" l="1"/>
  <c r="C198" i="41" l="1"/>
  <c r="E198" i="41" s="1"/>
  <c r="D199" i="41" l="1"/>
  <c r="C199" i="41" l="1"/>
  <c r="E199" i="41" s="1"/>
  <c r="D200" i="41" l="1"/>
  <c r="C200" i="41" l="1"/>
  <c r="E200" i="41" s="1"/>
  <c r="D201" i="41" l="1"/>
  <c r="C201" i="41" l="1"/>
  <c r="E201" i="41" s="1"/>
  <c r="D202" i="41" l="1"/>
  <c r="C202" i="41" l="1"/>
  <c r="E202" i="41" s="1"/>
  <c r="D203" i="41" l="1"/>
  <c r="C203" i="41" l="1"/>
  <c r="E203" i="41" s="1"/>
  <c r="D204" i="41" l="1"/>
  <c r="C204" i="41" l="1"/>
  <c r="E204" i="41" s="1"/>
  <c r="D205" i="41" l="1"/>
  <c r="C205" i="41" l="1"/>
  <c r="E205" i="41" s="1"/>
  <c r="D206" i="41" l="1"/>
  <c r="C206" i="41" l="1"/>
  <c r="E206" i="41" s="1"/>
  <c r="D207" i="41" l="1"/>
  <c r="C207" i="41" l="1"/>
  <c r="E207" i="41" s="1"/>
  <c r="D208" i="41" l="1"/>
  <c r="C208" i="41" l="1"/>
  <c r="E208" i="41" s="1"/>
  <c r="D209" i="41" l="1"/>
  <c r="C209" i="41" l="1"/>
  <c r="E209" i="41" s="1"/>
  <c r="D210" i="41" l="1"/>
  <c r="C210" i="41" l="1"/>
  <c r="E210" i="41" s="1"/>
  <c r="D211" i="41" l="1"/>
  <c r="C211" i="41" l="1"/>
  <c r="E211" i="41" s="1"/>
  <c r="D212" i="41" l="1"/>
  <c r="C212" i="41" l="1"/>
  <c r="E212" i="41" s="1"/>
  <c r="D213" i="41" l="1"/>
  <c r="C213" i="41" l="1"/>
  <c r="E213" i="41" s="1"/>
  <c r="D214" i="41" l="1"/>
  <c r="C214" i="41" l="1"/>
  <c r="E214" i="41" s="1"/>
  <c r="D215" i="41" l="1"/>
  <c r="C215" i="41" l="1"/>
  <c r="E215" i="41" s="1"/>
  <c r="D216" i="41" l="1"/>
  <c r="C216" i="41" l="1"/>
  <c r="E216" i="41" s="1"/>
  <c r="D217" i="41" l="1"/>
  <c r="C217" i="41" l="1"/>
  <c r="E217" i="41" s="1"/>
  <c r="D218" i="41" l="1"/>
  <c r="C218" i="41" l="1"/>
  <c r="E218" i="41" s="1"/>
  <c r="D219" i="41" l="1"/>
  <c r="C219" i="41" l="1"/>
  <c r="E219" i="41" s="1"/>
  <c r="D220" i="41" l="1"/>
  <c r="C220" i="41" l="1"/>
  <c r="E220" i="41" s="1"/>
  <c r="D221" i="41" l="1"/>
  <c r="C221" i="41" l="1"/>
  <c r="E221" i="41" s="1"/>
  <c r="D222" i="41" l="1"/>
  <c r="C222" i="41" l="1"/>
  <c r="E222" i="41" s="1"/>
  <c r="D223" i="41" l="1"/>
  <c r="C223" i="41" l="1"/>
  <c r="E223" i="41" s="1"/>
  <c r="D224" i="41" l="1"/>
  <c r="C224" i="41" l="1"/>
  <c r="E224" i="41" s="1"/>
  <c r="D225" i="41" l="1"/>
  <c r="C225" i="41" l="1"/>
  <c r="E225" i="41" s="1"/>
  <c r="D226" i="41" l="1"/>
  <c r="C226" i="41" l="1"/>
  <c r="E226" i="41" s="1"/>
  <c r="D227" i="41" l="1"/>
  <c r="C227" i="41" l="1"/>
  <c r="E227" i="41" s="1"/>
  <c r="D228" i="41" l="1"/>
  <c r="C228" i="41" l="1"/>
  <c r="E228" i="41" s="1"/>
  <c r="D229" i="41" l="1"/>
  <c r="C229" i="41" l="1"/>
  <c r="E229" i="41" s="1"/>
  <c r="D230" i="41" l="1"/>
  <c r="C230" i="41" l="1"/>
  <c r="E230" i="41" s="1"/>
  <c r="D231" i="41" l="1"/>
  <c r="C231" i="41" l="1"/>
  <c r="E231" i="41" s="1"/>
  <c r="D232" i="41" l="1"/>
  <c r="C232" i="41" l="1"/>
  <c r="E232" i="41" s="1"/>
  <c r="D233" i="41" l="1"/>
  <c r="C233" i="41" l="1"/>
  <c r="E233" i="41" s="1"/>
  <c r="D234" i="41" l="1"/>
  <c r="C234" i="41" l="1"/>
  <c r="E234" i="41" s="1"/>
  <c r="D235" i="41" l="1"/>
  <c r="C235" i="41" l="1"/>
  <c r="E235" i="41" s="1"/>
  <c r="D236" i="41" l="1"/>
  <c r="C236" i="41" l="1"/>
  <c r="E236" i="41" s="1"/>
  <c r="D237" i="41" l="1"/>
  <c r="C237" i="41" l="1"/>
  <c r="E237" i="41" s="1"/>
  <c r="D238" i="41" l="1"/>
  <c r="C238" i="41" l="1"/>
  <c r="E238" i="41" s="1"/>
  <c r="D239" i="41" l="1"/>
  <c r="C239" i="41" l="1"/>
  <c r="E239" i="41" s="1"/>
  <c r="D240" i="41" l="1"/>
  <c r="C240" i="41" l="1"/>
  <c r="E240" i="41" s="1"/>
  <c r="D241" i="41" l="1"/>
  <c r="C241" i="41" l="1"/>
  <c r="E241" i="41" s="1"/>
  <c r="D242" i="41" l="1"/>
  <c r="C242" i="41" l="1"/>
  <c r="E242" i="41" s="1"/>
  <c r="D243" i="41" l="1"/>
  <c r="C243" i="41" l="1"/>
  <c r="E243" i="41" s="1"/>
  <c r="D244" i="41" l="1"/>
  <c r="C244" i="41" l="1"/>
  <c r="E244" i="41" s="1"/>
  <c r="D245" i="41" l="1"/>
  <c r="C245" i="41" l="1"/>
  <c r="E245" i="41" s="1"/>
  <c r="D246" i="41" l="1"/>
  <c r="C246" i="41" l="1"/>
  <c r="E246" i="41" s="1"/>
  <c r="D247" i="41" l="1"/>
  <c r="C247" i="41" l="1"/>
  <c r="E247" i="41" s="1"/>
  <c r="D248" i="41" l="1"/>
  <c r="C248" i="41" l="1"/>
  <c r="E248" i="41" s="1"/>
  <c r="D249" i="41" l="1"/>
  <c r="C249" i="41" l="1"/>
  <c r="E249" i="41" s="1"/>
  <c r="D250" i="41" l="1"/>
  <c r="C250" i="41" l="1"/>
  <c r="E250" i="41" s="1"/>
  <c r="D251" i="41" l="1"/>
  <c r="C251" i="41" l="1"/>
  <c r="E251" i="41" s="1"/>
  <c r="D252" i="41" l="1"/>
  <c r="C252" i="41" l="1"/>
  <c r="E252" i="41" s="1"/>
  <c r="D253" i="41" l="1"/>
  <c r="C253" i="41" l="1"/>
  <c r="E253" i="41" s="1"/>
  <c r="D254" i="41" l="1"/>
  <c r="C254" i="41" l="1"/>
  <c r="E254" i="41" l="1"/>
  <c r="D255" i="41" l="1"/>
  <c r="C255" i="41" s="1"/>
  <c r="E255" i="41" s="1"/>
  <c r="D256" i="41" l="1"/>
  <c r="C256" i="41" s="1"/>
  <c r="E256" i="41" s="1"/>
  <c r="D257" i="41" l="1"/>
  <c r="C257" i="41" s="1"/>
  <c r="E257" i="41" s="1"/>
  <c r="D258" i="41" l="1"/>
  <c r="C258" i="41" l="1"/>
  <c r="E258" i="41" s="1"/>
  <c r="D259" i="41" l="1"/>
  <c r="C259" i="41" l="1"/>
  <c r="E259" i="41" s="1"/>
  <c r="D260" i="41" l="1"/>
  <c r="C260" i="41" l="1"/>
  <c r="E260" i="41" s="1"/>
  <c r="D261" i="41" l="1"/>
  <c r="C261" i="41" l="1"/>
  <c r="E261" i="41" s="1"/>
  <c r="D262" i="41" l="1"/>
  <c r="C262" i="41" l="1"/>
  <c r="E262" i="41" s="1"/>
  <c r="D263" i="41" l="1"/>
  <c r="C263" i="41" l="1"/>
  <c r="E263" i="41" s="1"/>
  <c r="D264" i="41" l="1"/>
  <c r="C264" i="41" l="1"/>
  <c r="E264" i="41" s="1"/>
  <c r="D265" i="41" l="1"/>
  <c r="C265" i="41" l="1"/>
  <c r="E265" i="41" s="1"/>
  <c r="D266" i="41" l="1"/>
  <c r="C266" i="41" l="1"/>
  <c r="E266" i="41" s="1"/>
  <c r="D267" i="41" l="1"/>
  <c r="C267" i="41" l="1"/>
  <c r="E267" i="41" s="1"/>
  <c r="D268" i="41" l="1"/>
  <c r="C268" i="41" l="1"/>
  <c r="E268" i="41" s="1"/>
  <c r="D269" i="41" l="1"/>
  <c r="C269" i="41" l="1"/>
  <c r="E269" i="41" s="1"/>
  <c r="D270" i="41" l="1"/>
  <c r="C270" i="41" l="1"/>
  <c r="E270" i="41" s="1"/>
  <c r="D271" i="41" l="1"/>
  <c r="C271" i="41" l="1"/>
  <c r="E271" i="41" s="1"/>
  <c r="D272" i="41" l="1"/>
  <c r="C272" i="41" l="1"/>
  <c r="E272" i="41" s="1"/>
  <c r="D273" i="41" l="1"/>
  <c r="C273" i="41" l="1"/>
  <c r="E273" i="41" s="1"/>
  <c r="D274" i="41" l="1"/>
  <c r="C274" i="41" l="1"/>
  <c r="E274" i="41" s="1"/>
  <c r="D275" i="41" l="1"/>
  <c r="C275" i="41" l="1"/>
  <c r="E275" i="41" s="1"/>
  <c r="D276" i="41" l="1"/>
  <c r="C276" i="41" l="1"/>
  <c r="E276" i="41" s="1"/>
  <c r="D277" i="41" l="1"/>
  <c r="C277" i="41" l="1"/>
  <c r="E277" i="41" s="1"/>
  <c r="D278" i="41" l="1"/>
  <c r="C278" i="41" l="1"/>
  <c r="E278" i="41" s="1"/>
  <c r="D279" i="41" l="1"/>
  <c r="C279" i="41" l="1"/>
  <c r="E279" i="41" s="1"/>
  <c r="D280" i="41" l="1"/>
  <c r="C280" i="41" l="1"/>
  <c r="E280" i="41" s="1"/>
  <c r="D281" i="41" l="1"/>
  <c r="C281" i="41" l="1"/>
  <c r="E281" i="41" s="1"/>
  <c r="D282" i="41" l="1"/>
  <c r="C282" i="41" l="1"/>
  <c r="E282" i="41" s="1"/>
  <c r="D283" i="41" l="1"/>
  <c r="C283" i="41" l="1"/>
  <c r="E283" i="41" s="1"/>
  <c r="D284" i="41" l="1"/>
  <c r="C284" i="41" l="1"/>
  <c r="E284" i="41" s="1"/>
  <c r="D285" i="41" l="1"/>
  <c r="C285" i="41" l="1"/>
  <c r="E285" i="41" s="1"/>
  <c r="D286" i="41" l="1"/>
  <c r="C286" i="41" l="1"/>
  <c r="E286" i="41" s="1"/>
  <c r="D287" i="41" l="1"/>
  <c r="C287" i="41" l="1"/>
  <c r="E287" i="41" s="1"/>
  <c r="D288" i="41" l="1"/>
  <c r="C288" i="41" l="1"/>
  <c r="E288" i="41" s="1"/>
  <c r="D289" i="41" l="1"/>
  <c r="C289" i="41" l="1"/>
  <c r="E289" i="41" s="1"/>
  <c r="D290" i="41" l="1"/>
  <c r="C290" i="41" l="1"/>
  <c r="E290" i="41" s="1"/>
  <c r="D291" i="41" l="1"/>
  <c r="C291" i="41" l="1"/>
  <c r="E291" i="41" s="1"/>
  <c r="D292" i="41" l="1"/>
  <c r="C292" i="41" l="1"/>
  <c r="E292" i="41" s="1"/>
  <c r="D293" i="41" l="1"/>
  <c r="C293" i="41" l="1"/>
  <c r="E293" i="41" s="1"/>
  <c r="D294" i="41" l="1"/>
  <c r="C294" i="41" l="1"/>
  <c r="E294" i="41" s="1"/>
  <c r="D295" i="41" l="1"/>
  <c r="C295" i="41" l="1"/>
  <c r="E295" i="41" s="1"/>
  <c r="D296" i="41" l="1"/>
  <c r="C296" i="41" l="1"/>
  <c r="E296" i="41" s="1"/>
  <c r="D297" i="41" l="1"/>
  <c r="C297" i="41" l="1"/>
  <c r="E297" i="41" s="1"/>
  <c r="D298" i="41" l="1"/>
  <c r="C298" i="41" l="1"/>
  <c r="E298" i="41" s="1"/>
  <c r="D299" i="41" l="1"/>
  <c r="C299" i="41" l="1"/>
  <c r="E299" i="41" s="1"/>
  <c r="D300" i="41" l="1"/>
  <c r="C300" i="41" l="1"/>
  <c r="E300" i="41" s="1"/>
  <c r="D301" i="41" l="1"/>
  <c r="C301" i="41" l="1"/>
  <c r="E301" i="41" s="1"/>
  <c r="D302" i="41" l="1"/>
  <c r="C302" i="41" l="1"/>
  <c r="E302" i="41" s="1"/>
  <c r="D303" i="41" l="1"/>
  <c r="C303" i="41" l="1"/>
  <c r="E303" i="41" s="1"/>
  <c r="D304" i="41" l="1"/>
  <c r="C304" i="41" l="1"/>
  <c r="E304" i="41" s="1"/>
  <c r="D305" i="41" l="1"/>
  <c r="C305" i="41" l="1"/>
  <c r="E305" i="41" s="1"/>
  <c r="D306" i="41" l="1"/>
  <c r="C306" i="41" l="1"/>
  <c r="E306" i="41" s="1"/>
  <c r="D307" i="41" l="1"/>
  <c r="C307" i="41" l="1"/>
  <c r="E307" i="41" s="1"/>
  <c r="D308" i="41" l="1"/>
  <c r="C308" i="41" l="1"/>
  <c r="E308" i="41" s="1"/>
  <c r="D309" i="41" l="1"/>
  <c r="C309" i="41" l="1"/>
  <c r="E309" i="41" s="1"/>
  <c r="D310" i="41" l="1"/>
  <c r="C310" i="41" l="1"/>
  <c r="E310" i="41" s="1"/>
  <c r="D311" i="41" l="1"/>
  <c r="C311" i="41" l="1"/>
  <c r="E311" i="41" s="1"/>
  <c r="D312" i="41" l="1"/>
  <c r="C312" i="41" l="1"/>
  <c r="E312" i="41" s="1"/>
  <c r="D313" i="41" l="1"/>
  <c r="C313" i="41" l="1"/>
  <c r="E313" i="41" s="1"/>
  <c r="D314" i="41" l="1"/>
  <c r="C314" i="41" l="1"/>
  <c r="E314" i="41" s="1"/>
  <c r="D315" i="41" l="1"/>
  <c r="C315" i="41" l="1"/>
  <c r="E315" i="41" s="1"/>
  <c r="D316" i="41" l="1"/>
  <c r="C316" i="41" l="1"/>
  <c r="E316" i="41" s="1"/>
  <c r="D317" i="41" l="1"/>
  <c r="C317" i="41" l="1"/>
  <c r="E317" i="41" s="1"/>
  <c r="Q24" i="33" l="1"/>
  <c r="G21" i="74" l="1"/>
  <c r="F28" i="74" s="1"/>
  <c r="C21" i="74"/>
  <c r="C32" i="33"/>
  <c r="E28" i="74" l="1"/>
  <c r="D28" i="74"/>
  <c r="C28"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tc={B63CE5B1-1A56-4BBC-BA3C-A34D4FD395D2}</author>
  </authors>
  <commentList>
    <comment ref="C5" authorId="0" shapeId="0" xr:uid="{B63CE5B1-1A56-4BBC-BA3C-A34D4FD395D2}">
      <text>
        <t>[Opmerkingenthread]
U kunt deze opmerkingenthread lezen in uw versie van Excel. Eventuele wijzigingen aan de thread gaan echter verloren als het bestand wordt geopend in een nieuwere versie van Excel. Meer informatie: https://go.microsoft.com/fwlink/?linkid=870924
Opmerking:
    Als je maar één prijs krijgt, moet je deze invullen bij isolatie, maar er gebeurd een overschatting.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<sst xmlns="http://schemas.openxmlformats.org/spreadsheetml/2006/main" count="319" uniqueCount="215">
  <si>
    <t>Deze handleiding begeleidt je stap voor stap door elk tabblad van deze financieringsmatrix. Elk tabblad heeft een specifieke functie en in deze handleiding wordt duidelijk uitgelegd wat het doel is van elk tabblad, welke stappen je moet volgen en waar je extra op moet letten om fouten te voorkomen.</t>
  </si>
  <si>
    <r>
      <t xml:space="preserve">Om het gebruik van het bestand zo overzichtelijk mogelijk te maken, zijn de tabbladen ingedeeld en kleurgecodeerd:
</t>
    </r>
    <r>
      <rPr>
        <b/>
        <u/>
        <sz val="11"/>
        <color theme="4" tint="-0.249977111117893"/>
        <rFont val="Calibri"/>
        <family val="2"/>
        <scheme val="minor"/>
      </rPr>
      <t>Blauwe tabbladen:</t>
    </r>
    <r>
      <rPr>
        <sz val="11"/>
        <color theme="1"/>
        <rFont val="Calibri"/>
        <family val="2"/>
        <scheme val="minor"/>
      </rPr>
      <t xml:space="preserve"> Hier geef je alle benodigde input in. Dit zijn de invoerschermen waarin je de gegevens zorgvuldig moet invullen om een goede basis te leggen voor de verdere berekeningen. Je hoeft enkel de tekstvelden in</t>
    </r>
    <r>
      <rPr>
        <sz val="11"/>
        <color rgb="FFFF0000"/>
        <rFont val="Calibri"/>
        <family val="2"/>
        <scheme val="minor"/>
      </rPr>
      <t xml:space="preserve"> rode kleur</t>
    </r>
    <r>
      <rPr>
        <sz val="11"/>
        <color theme="1"/>
        <rFont val="Calibri"/>
        <family val="2"/>
        <scheme val="minor"/>
      </rPr>
      <t xml:space="preserve"> in te vullen, de overige cellen worden automatisch ingevuld.
</t>
    </r>
    <r>
      <rPr>
        <b/>
        <u/>
        <sz val="11"/>
        <color theme="6"/>
        <rFont val="Calibri"/>
        <family val="2"/>
        <scheme val="minor"/>
      </rPr>
      <t>Groene tabbladen:</t>
    </r>
    <r>
      <rPr>
        <sz val="11"/>
        <color theme="1"/>
        <rFont val="Calibri"/>
        <family val="2"/>
        <scheme val="minor"/>
      </rPr>
      <t xml:space="preserve"> Deze bevatten de financierigsmatrix van het persoonlijk aandeel in de renovatiekost van de gemeenschappelijke delen per kavel de bijbehorende achterliggende berekeningen. 
</t>
    </r>
  </si>
  <si>
    <t>QUOTITEITEN</t>
  </si>
  <si>
    <t>BEREKENING</t>
  </si>
  <si>
    <r>
      <t xml:space="preserve">Doel
</t>
    </r>
    <r>
      <rPr>
        <sz val="11"/>
        <color theme="1"/>
        <rFont val="Calibri"/>
        <family val="2"/>
        <scheme val="minor"/>
      </rPr>
      <t>In dit tabblad vinden de achterliggende berekeningen plaats voor de Mijn VerbouwLening VME (financieringsopties 2 en 3). Je hoeft hier niets aan te passen, tenzij je de looptijd of de rentevoet van de lening wilt wijzigen.</t>
    </r>
    <r>
      <rPr>
        <b/>
        <sz val="11"/>
        <color theme="1"/>
        <rFont val="Calibri"/>
        <family val="2"/>
        <scheme val="minor"/>
      </rPr>
      <t xml:space="preserve">
</t>
    </r>
  </si>
  <si>
    <r>
      <rPr>
        <b/>
        <sz val="11"/>
        <color theme="1"/>
        <rFont val="Calibri"/>
        <family val="2"/>
        <scheme val="minor"/>
      </rPr>
      <t>Doel</t>
    </r>
    <r>
      <rPr>
        <sz val="11"/>
        <color theme="1"/>
        <rFont val="Calibri"/>
        <family val="2"/>
        <scheme val="minor"/>
      </rPr>
      <t xml:space="preserve">
In dit tabblad vinden de achterliggende berekeningen plaats voor de VME-krediet bij een financiële instelling (financieringsoptie 3). Je hoeft hier niets aan te passen, tenzij je de looptijd of de rentevoet van de lening wilt wijzigen.
</t>
    </r>
  </si>
  <si>
    <r>
      <rPr>
        <b/>
        <sz val="11"/>
        <color theme="1"/>
        <rFont val="Calibri"/>
        <family val="2"/>
        <scheme val="minor"/>
      </rPr>
      <t>Doel</t>
    </r>
    <r>
      <rPr>
        <sz val="11"/>
        <color theme="1"/>
        <rFont val="Calibri"/>
        <family val="2"/>
        <scheme val="minor"/>
      </rPr>
      <t xml:space="preserve">
In dit tabblad vinden de achterliggende berekeningen plaats voor de VME-krediet bij een financiële instelling (financieringsoptie 4). Je hoeft hier niets aan te passen, tenzij je de looptijd of de rentevoet van de lening wilt wijzigen.
</t>
    </r>
  </si>
  <si>
    <r>
      <rPr>
        <i/>
        <u/>
        <sz val="11"/>
        <color theme="1"/>
        <rFont val="Calibri"/>
        <family val="2"/>
        <scheme val="minor"/>
      </rPr>
      <t>DISCLAIMER</t>
    </r>
    <r>
      <rPr>
        <i/>
        <sz val="11"/>
        <color theme="1"/>
        <rFont val="Calibri"/>
        <family val="2"/>
        <scheme val="minor"/>
      </rPr>
      <t>: Deze financieringstool werd ontwikkeld door Stad Antwerpen en nadien verfijnd binnen het CondoReno-project (LIFE21-CET-HOMERENO-CondoReno). Dit is een éénmalige publicatie en wordt niet automatisch bijgewerkt bij wijzigingen in premies, subsidies of financiële producten. De tool is bedoeld als informatief hulpmiddel en mag niet worden beschouwd als financieel advies. Stad Antwerpen en de andere CondoReno partners aanvaarden geen aansprakelijkheid voor foutieve interpretatie, onvolledige input of verkeerde toepassing van de resultaten. Elke gebruiker is volledig verantwoordelijk voor het controleren en interpreteren van de output, vóór deze met derden wordt gedeeld of extern gebruikt.</t>
    </r>
  </si>
  <si>
    <t>Aantal kavels</t>
  </si>
  <si>
    <t>Quotiteiten</t>
  </si>
  <si>
    <t>Meest voorkomende quotiteit</t>
  </si>
  <si>
    <t>Wooneenheid</t>
  </si>
  <si>
    <t>Geen wooneenheid</t>
  </si>
  <si>
    <t>Totaal</t>
  </si>
  <si>
    <t>Kavel</t>
  </si>
  <si>
    <t>omschrijving kavel</t>
  </si>
  <si>
    <t>quotiteit</t>
  </si>
  <si>
    <t>Aantal</t>
  </si>
  <si>
    <t>Controle (quotiteit x aantal)</t>
  </si>
  <si>
    <t>Garage type 1</t>
  </si>
  <si>
    <t>Appartement type 1</t>
  </si>
  <si>
    <t>Appartement type 2</t>
  </si>
  <si>
    <t>Appartement type 3</t>
  </si>
  <si>
    <t>Raming van de gemeenschappelijke kosten - samenvatting</t>
  </si>
  <si>
    <t>Scenario</t>
  </si>
  <si>
    <t xml:space="preserve">Totaalkost </t>
  </si>
  <si>
    <t>Dak</t>
  </si>
  <si>
    <t>Buitenmuur</t>
  </si>
  <si>
    <t>Vloer</t>
  </si>
  <si>
    <t>Ramen en deuren</t>
  </si>
  <si>
    <t>Isolatie</t>
  </si>
  <si>
    <t>Asbest</t>
  </si>
  <si>
    <t>Renovatie</t>
  </si>
  <si>
    <t>Beglazing</t>
  </si>
  <si>
    <t>Schrjinwerk</t>
  </si>
  <si>
    <t>Scenario 1</t>
  </si>
  <si>
    <t>Scenario 2</t>
  </si>
  <si>
    <t>Scenario 3</t>
  </si>
  <si>
    <t>Scenario 4</t>
  </si>
  <si>
    <t>Scenario 5</t>
  </si>
  <si>
    <t>Scenario 6</t>
  </si>
  <si>
    <t>Raming van de gemeenschappelijke kosten - details</t>
  </si>
  <si>
    <t>Aard van de werken</t>
  </si>
  <si>
    <t>Beschrijving</t>
  </si>
  <si>
    <t>m2</t>
  </si>
  <si>
    <t>prijs</t>
  </si>
  <si>
    <t>Dakkoepel</t>
  </si>
  <si>
    <t>Ramen en deuren - beglazing</t>
  </si>
  <si>
    <t>x</t>
  </si>
  <si>
    <t xml:space="preserve">Dakvolume </t>
  </si>
  <si>
    <t>isolatie dak: rotswol 18 cm</t>
  </si>
  <si>
    <t>Dak - isolatie</t>
  </si>
  <si>
    <t>nieuw dakdichting</t>
  </si>
  <si>
    <t>Dak - renovatie</t>
  </si>
  <si>
    <t>asbest</t>
  </si>
  <si>
    <t>Dak - asbestverwijdering</t>
  </si>
  <si>
    <t>Schilderwerken gang</t>
  </si>
  <si>
    <t>Deurmat</t>
  </si>
  <si>
    <t>Studiekosten</t>
  </si>
  <si>
    <t>Erelonen</t>
  </si>
  <si>
    <t xml:space="preserve">Voordeur </t>
  </si>
  <si>
    <t>Zonnepanelen</t>
  </si>
  <si>
    <t xml:space="preserve">Zonnepanelen </t>
  </si>
  <si>
    <t>Binnenkant</t>
  </si>
  <si>
    <t>VME</t>
  </si>
  <si>
    <t>BESCHRIJVING WERKEN</t>
  </si>
  <si>
    <r>
      <t xml:space="preserve">Prijs
</t>
    </r>
    <r>
      <rPr>
        <sz val="11"/>
        <color theme="1"/>
        <rFont val="Calibri"/>
        <family val="2"/>
        <scheme val="minor"/>
      </rPr>
      <t>excl. BTW</t>
    </r>
  </si>
  <si>
    <t>BTW</t>
  </si>
  <si>
    <r>
      <t>Prijs
incl</t>
    </r>
    <r>
      <rPr>
        <sz val="11"/>
        <color theme="1"/>
        <rFont val="Calibri"/>
        <family val="2"/>
        <scheme val="minor"/>
      </rPr>
      <t>. BTW</t>
    </r>
  </si>
  <si>
    <t>Aantal m²</t>
  </si>
  <si>
    <t>Bonussen</t>
  </si>
  <si>
    <t>BASISPREMIE</t>
  </si>
  <si>
    <t>Proportioneel aandeel basispremie</t>
  </si>
  <si>
    <t>Proportioneel aandeel kosten excl. BTW</t>
  </si>
  <si>
    <t>Aanvullende premie
Cat. 3</t>
  </si>
  <si>
    <t>Aanvullende premie
Cat. 4</t>
  </si>
  <si>
    <r>
      <t xml:space="preserve">Cat 1. Hoogste
</t>
    </r>
    <r>
      <rPr>
        <sz val="11"/>
        <color theme="1" tint="4.9989318521683403E-2"/>
        <rFont val="Calibri"/>
        <family val="2"/>
        <scheme val="minor"/>
      </rPr>
      <t>(basis)</t>
    </r>
  </si>
  <si>
    <t>Cat 2. Middelste
(basis)</t>
  </si>
  <si>
    <t>Cat 3. Laagste
(basis + aanvullend)</t>
  </si>
  <si>
    <r>
      <t xml:space="preserve">Cat 4. Laagste
</t>
    </r>
    <r>
      <rPr>
        <sz val="11"/>
        <color theme="1" tint="4.9989318521683403E-2"/>
        <rFont val="Calibri"/>
        <family val="2"/>
        <scheme val="minor"/>
      </rPr>
      <t>(basis + aanvullend)</t>
    </r>
  </si>
  <si>
    <t>CATEGORIEËN MIJN VERBOUWPREMIE</t>
  </si>
  <si>
    <t>Bonus asbest</t>
  </si>
  <si>
    <t>Buitenkant</t>
  </si>
  <si>
    <t>Buitenmuur - isolatie</t>
  </si>
  <si>
    <t>Buitenmuur - renovatie</t>
  </si>
  <si>
    <t>Vloer - isolatie</t>
  </si>
  <si>
    <t>Vloer - renovatie</t>
  </si>
  <si>
    <t>Ramen en deuren - schrijnwerk</t>
  </si>
  <si>
    <t>Voorb. isolatie</t>
  </si>
  <si>
    <t>Voorb. elektriciteit en sanitair</t>
  </si>
  <si>
    <t>Lucht-water</t>
  </si>
  <si>
    <t>Warmtepomp</t>
  </si>
  <si>
    <t>Geen verhoging premie</t>
  </si>
  <si>
    <t>Warmtepompboiler</t>
  </si>
  <si>
    <t>CATEGORIEËN OVERIGE</t>
  </si>
  <si>
    <t>Privatief</t>
  </si>
  <si>
    <t>Geen premie 21%</t>
  </si>
  <si>
    <t>Geen premie 6%</t>
  </si>
  <si>
    <t>TOTALE KOSTEN EXCL. BTW    /    INCL. BTW</t>
  </si>
  <si>
    <t>Totaalprijs VME</t>
  </si>
  <si>
    <t>inclusief BTW</t>
  </si>
  <si>
    <t xml:space="preserve">Mijn VerbouwLening </t>
  </si>
  <si>
    <t>2e lening /reservefonds</t>
  </si>
  <si>
    <t>Mijn VerbouwPremie VME</t>
  </si>
  <si>
    <t>Mijn VerbouwPremie aanvullend</t>
  </si>
  <si>
    <t>FINANCIERING   (achterliggende berekeningen)</t>
  </si>
  <si>
    <t>Looptijd</t>
  </si>
  <si>
    <t>Frequentie</t>
  </si>
  <si>
    <t>Bedrag</t>
  </si>
  <si>
    <t>Maandelijkse aflossing</t>
  </si>
  <si>
    <t>kost / quotiteit</t>
  </si>
  <si>
    <t>VME Mijn VerbouwLening</t>
  </si>
  <si>
    <r>
      <t xml:space="preserve">KREDIETVERZEKERING MIN
</t>
    </r>
    <r>
      <rPr>
        <sz val="11"/>
        <color theme="0" tint="-0.34998626667073579"/>
        <rFont val="Calibri"/>
        <family val="2"/>
        <scheme val="minor"/>
      </rPr>
      <t>VME Mijn Verbouwlening</t>
    </r>
  </si>
  <si>
    <t>Eenmalig</t>
  </si>
  <si>
    <t>Eigen middelen deel 1</t>
  </si>
  <si>
    <r>
      <t xml:space="preserve">LENING 2
</t>
    </r>
    <r>
      <rPr>
        <sz val="11"/>
        <color theme="1"/>
        <rFont val="Calibri"/>
        <family val="2"/>
        <scheme val="minor"/>
      </rPr>
      <t>VME lening grootbank</t>
    </r>
  </si>
  <si>
    <t>Totaal quotiteiten</t>
  </si>
  <si>
    <t>Q  hoofdgebouw</t>
  </si>
  <si>
    <t>Q garage</t>
  </si>
  <si>
    <r>
      <t xml:space="preserve">RISICOPREMIE 2
</t>
    </r>
    <r>
      <rPr>
        <sz val="11"/>
        <color theme="0" tint="-0.34998626667073579"/>
        <rFont val="Calibri"/>
        <family val="2"/>
        <scheme val="minor"/>
      </rPr>
      <t>VME lening grootbank</t>
    </r>
  </si>
  <si>
    <r>
      <t xml:space="preserve">LENING 3
</t>
    </r>
    <r>
      <rPr>
        <sz val="11"/>
        <color theme="1"/>
        <rFont val="Calibri"/>
        <family val="2"/>
        <scheme val="minor"/>
      </rPr>
      <t xml:space="preserve">VME lening </t>
    </r>
    <r>
      <rPr>
        <u/>
        <sz val="11"/>
        <color theme="1"/>
        <rFont val="Calibri"/>
        <family val="2"/>
        <scheme val="minor"/>
      </rPr>
      <t>alles</t>
    </r>
    <r>
      <rPr>
        <sz val="11"/>
        <color theme="1"/>
        <rFont val="Calibri"/>
        <family val="2"/>
        <scheme val="minor"/>
      </rPr>
      <t xml:space="preserve"> grootbank</t>
    </r>
  </si>
  <si>
    <t>Kost per quotiteit</t>
  </si>
  <si>
    <r>
      <t xml:space="preserve">RISICOPREMIE 2
</t>
    </r>
    <r>
      <rPr>
        <sz val="11"/>
        <color theme="0" tint="-0.34998626667073579"/>
        <rFont val="Calibri"/>
        <family val="2"/>
        <scheme val="minor"/>
      </rPr>
      <t xml:space="preserve">VME lening </t>
    </r>
    <r>
      <rPr>
        <u/>
        <sz val="11"/>
        <color theme="0" tint="-0.34998626667073579"/>
        <rFont val="Calibri"/>
        <family val="2"/>
        <scheme val="minor"/>
      </rPr>
      <t>alles</t>
    </r>
    <r>
      <rPr>
        <sz val="11"/>
        <color theme="0" tint="-0.34998626667073579"/>
        <rFont val="Calibri"/>
        <family val="2"/>
        <scheme val="minor"/>
      </rPr>
      <t xml:space="preserve"> grootbank</t>
    </r>
  </si>
  <si>
    <t>Basispremie per quotiteit</t>
  </si>
  <si>
    <t>VME LENING BEREKENING MAX</t>
  </si>
  <si>
    <t>Max leenbedrag adhv wooneenheden</t>
  </si>
  <si>
    <t>Max leenbedrag binnenrenovatie</t>
  </si>
  <si>
    <t>Max leenbedrag elektriciteit en sanitair</t>
  </si>
  <si>
    <t>VME LENING BEREKENING SCENARIO</t>
  </si>
  <si>
    <t>Finaal maximaal leenbedrag MVL</t>
  </si>
  <si>
    <t xml:space="preserve">--&gt; </t>
  </si>
  <si>
    <t>Lening 1</t>
  </si>
  <si>
    <t>Zelf financieren of lenen bij derde</t>
  </si>
  <si>
    <t>Lening 2</t>
  </si>
  <si>
    <t>QUOTITEIT</t>
  </si>
  <si>
    <t>OPTIE 1</t>
  </si>
  <si>
    <t>OPTIE 2</t>
  </si>
  <si>
    <t>OPTIE 3</t>
  </si>
  <si>
    <t>OPTIE 4</t>
  </si>
  <si>
    <t>Eigen middelen</t>
  </si>
  <si>
    <t>Eigen middelen +
VME Mijn VerbouwLening</t>
  </si>
  <si>
    <t>VME Mijn VerbouwLening +
VME lening financiële instelling</t>
  </si>
  <si>
    <t>VME lening financiële instelling</t>
  </si>
  <si>
    <t>Via eigen middelen</t>
  </si>
  <si>
    <t>Via lening</t>
  </si>
  <si>
    <t>Mijn VerbouwLening</t>
  </si>
  <si>
    <t>Financiële instelling</t>
  </si>
  <si>
    <t>Som maandelijkse aflossingen</t>
  </si>
  <si>
    <r>
      <t>Totale investering</t>
    </r>
    <r>
      <rPr>
        <sz val="11"/>
        <color theme="1"/>
        <rFont val="Calibri"/>
        <family val="2"/>
        <scheme val="minor"/>
      </rPr>
      <t xml:space="preserve"> (excl. kredietverzekering)</t>
    </r>
  </si>
  <si>
    <t>Inschatting kredietverzekering</t>
  </si>
  <si>
    <t>Simulatie Mijn VerbouwPremie</t>
  </si>
  <si>
    <r>
      <rPr>
        <b/>
        <sz val="11"/>
        <color theme="1"/>
        <rFont val="Calibri"/>
        <family val="2"/>
        <scheme val="minor"/>
      </rPr>
      <t xml:space="preserve">Cat. 1 - Hoogste </t>
    </r>
    <r>
      <rPr>
        <sz val="11"/>
        <color theme="1"/>
        <rFont val="Calibri"/>
        <family val="2"/>
        <scheme val="minor"/>
      </rPr>
      <t xml:space="preserve">inkomenscategorie
Basispremie </t>
    </r>
  </si>
  <si>
    <r>
      <rPr>
        <b/>
        <sz val="11"/>
        <color theme="1"/>
        <rFont val="Calibri"/>
        <family val="2"/>
        <scheme val="minor"/>
      </rPr>
      <t>Cat. 2 - Middelste</t>
    </r>
    <r>
      <rPr>
        <sz val="11"/>
        <color theme="1"/>
        <rFont val="Calibri"/>
        <family val="2"/>
        <scheme val="minor"/>
      </rPr>
      <t xml:space="preserve"> inkomenscategorie
Basispremie</t>
    </r>
  </si>
  <si>
    <r>
      <rPr>
        <b/>
        <sz val="11"/>
        <color theme="1"/>
        <rFont val="Calibri"/>
        <family val="2"/>
        <scheme val="minor"/>
      </rPr>
      <t>Cat. 3 - Laagste</t>
    </r>
    <r>
      <rPr>
        <sz val="11"/>
        <color theme="1"/>
        <rFont val="Calibri"/>
        <family val="2"/>
        <scheme val="minor"/>
      </rPr>
      <t xml:space="preserve"> inkomenscategorie
Basispremie + aanvullende premie</t>
    </r>
  </si>
  <si>
    <r>
      <rPr>
        <b/>
        <sz val="11"/>
        <color theme="1"/>
        <rFont val="Calibri"/>
        <family val="2"/>
        <scheme val="minor"/>
      </rPr>
      <t>Cat. 4 - Laagste</t>
    </r>
    <r>
      <rPr>
        <sz val="11"/>
        <color theme="1"/>
        <rFont val="Calibri"/>
        <family val="2"/>
        <scheme val="minor"/>
      </rPr>
      <t xml:space="preserve"> inkomenscategorie
Basispremie + aanvullende premie</t>
    </r>
  </si>
  <si>
    <t>Besparingen (na 20 jaar)</t>
  </si>
  <si>
    <t>Totale investering na ontvangst premies</t>
  </si>
  <si>
    <r>
      <rPr>
        <b/>
        <sz val="11"/>
        <rFont val="Calibri"/>
        <family val="2"/>
        <scheme val="minor"/>
      </rPr>
      <t>Cat. 1 - Hoogste</t>
    </r>
    <r>
      <rPr>
        <sz val="11"/>
        <rFont val="Calibri"/>
        <family val="2"/>
        <scheme val="minor"/>
      </rPr>
      <t xml:space="preserve"> inkomenscategorie</t>
    </r>
  </si>
  <si>
    <r>
      <rPr>
        <b/>
        <sz val="11"/>
        <rFont val="Calibri"/>
        <family val="2"/>
        <scheme val="minor"/>
      </rPr>
      <t>Cat. 2 - Middelste</t>
    </r>
    <r>
      <rPr>
        <sz val="11"/>
        <color theme="1"/>
        <rFont val="Calibri"/>
        <family val="2"/>
        <scheme val="minor"/>
      </rPr>
      <t xml:space="preserve"> inkomenscategorie</t>
    </r>
  </si>
  <si>
    <r>
      <t>Cat. 3 - Laagste</t>
    </r>
    <r>
      <rPr>
        <sz val="11"/>
        <rFont val="Calibri"/>
        <family val="2"/>
        <scheme val="minor"/>
      </rPr>
      <t xml:space="preserve"> inkomenscategorie</t>
    </r>
  </si>
  <si>
    <r>
      <rPr>
        <b/>
        <sz val="11"/>
        <rFont val="Calibri"/>
        <family val="2"/>
        <scheme val="minor"/>
      </rPr>
      <t>Cat. 4 - Laagste</t>
    </r>
    <r>
      <rPr>
        <sz val="11"/>
        <color theme="1"/>
        <rFont val="Calibri"/>
        <family val="2"/>
        <scheme val="minor"/>
      </rPr>
      <t xml:space="preserve"> inkomenscategorie</t>
    </r>
  </si>
  <si>
    <t>VME LENING</t>
  </si>
  <si>
    <t>Atradius verzekering</t>
  </si>
  <si>
    <t>Looptijd in maanden</t>
  </si>
  <si>
    <t>Min 1,5 %   VME</t>
  </si>
  <si>
    <t>Looptijd in jaren</t>
  </si>
  <si>
    <t>Min 1,5 %   quotiteit</t>
  </si>
  <si>
    <t>Rente (maandelijks)</t>
  </si>
  <si>
    <t>Rente (jaarbasis)</t>
  </si>
  <si>
    <t>Max 3,5 %  VME</t>
  </si>
  <si>
    <t>Betaling</t>
  </si>
  <si>
    <t>Max 3,5 %  quotiteit</t>
  </si>
  <si>
    <t>Rentekost</t>
  </si>
  <si>
    <t>Max 2,5 %  VME (gemiddelde)</t>
  </si>
  <si>
    <t>Totale aflossing</t>
  </si>
  <si>
    <t>Kapitaal aflossing</t>
  </si>
  <si>
    <t>administratieve kost per eigenaar</t>
  </si>
  <si>
    <t>Interest component</t>
  </si>
  <si>
    <t>minimale verzekeringspremie</t>
  </si>
  <si>
    <t>Tijdstip</t>
  </si>
  <si>
    <t>Constante Aflossing</t>
  </si>
  <si>
    <t>Kapitaalsaflossing</t>
  </si>
  <si>
    <t>Resterend kapitaal</t>
  </si>
  <si>
    <t>Privatieve bank</t>
  </si>
  <si>
    <t>VME Lening</t>
  </si>
  <si>
    <t>KBC</t>
  </si>
  <si>
    <t>niet limitatief</t>
  </si>
  <si>
    <t>Elantis</t>
  </si>
  <si>
    <t>Maesgroep</t>
  </si>
  <si>
    <t>Belfius</t>
  </si>
  <si>
    <t>Triodos</t>
  </si>
  <si>
    <t>BNP Paribas Fortis</t>
  </si>
  <si>
    <t>Kredietverzekering</t>
  </si>
  <si>
    <t>Atradius</t>
  </si>
  <si>
    <t>Lift</t>
  </si>
  <si>
    <t>MATRIX KAVEL</t>
  </si>
  <si>
    <t>AFLOSSING VME MVL_LENING 1</t>
  </si>
  <si>
    <t>AFLOSSING VME BANK_LENING 2</t>
  </si>
  <si>
    <t>AFLOSSING VME BANK_LENING 3</t>
  </si>
  <si>
    <t xml:space="preserve">RAMING (optioneel) </t>
  </si>
  <si>
    <r>
      <t xml:space="preserve">Doel
</t>
    </r>
    <r>
      <rPr>
        <sz val="11"/>
        <color theme="1"/>
        <rFont val="Calibri"/>
        <family val="2"/>
        <scheme val="minor"/>
      </rPr>
      <t>In dit tabblad kan je een raming van het studiebureau, de architect of aannemer kopiëren. Door alles in dit tabblad in te voeren kan je werken met verschillende scenario's en krijg je meer flexibiliteit om dingen aan te passen. De bedragen en m2 worden automatisch gekoppeld</t>
    </r>
    <r>
      <rPr>
        <sz val="11"/>
        <rFont val="Calibri"/>
        <family val="2"/>
        <scheme val="minor"/>
      </rPr>
      <t xml:space="preserve"> aan het tabblad</t>
    </r>
    <r>
      <rPr>
        <i/>
        <sz val="11"/>
        <color theme="3"/>
        <rFont val="Calibri"/>
        <family val="2"/>
        <scheme val="minor"/>
      </rPr>
      <t xml:space="preserve"> Berekening</t>
    </r>
    <r>
      <rPr>
        <sz val="11"/>
        <color theme="1"/>
        <rFont val="Calibri"/>
        <family val="2"/>
        <scheme val="minor"/>
      </rPr>
      <t>. Het gebruik van dit tabblad is optioneel; je kan de bedragen ook rechtstreeks in het</t>
    </r>
    <r>
      <rPr>
        <i/>
        <sz val="11"/>
        <color theme="3"/>
        <rFont val="Calibri"/>
        <family val="2"/>
        <scheme val="minor"/>
      </rPr>
      <t xml:space="preserve"> tabblad Berekening</t>
    </r>
    <r>
      <rPr>
        <sz val="11"/>
        <color theme="1"/>
        <rFont val="Calibri"/>
        <family val="2"/>
        <scheme val="minor"/>
      </rPr>
      <t xml:space="preserve"> invoeren.</t>
    </r>
    <r>
      <rPr>
        <b/>
        <sz val="11"/>
        <color theme="1"/>
        <rFont val="Calibri"/>
        <family val="2"/>
        <scheme val="minor"/>
      </rPr>
      <t xml:space="preserve">
</t>
    </r>
  </si>
  <si>
    <t>premie categorie</t>
  </si>
  <si>
    <r>
      <t xml:space="preserve">Doel
</t>
    </r>
    <r>
      <rPr>
        <sz val="11"/>
        <color theme="1"/>
        <rFont val="Calibri"/>
        <family val="2"/>
        <scheme val="minor"/>
      </rPr>
      <t>Basisgegevens verzamelen met betrekking tot de quotiteiten van de verschillende kavels in het gebouw. Deze informatie is essentieel om een correcte en evenwichtige kostenverdeling te kunnen maken.</t>
    </r>
    <r>
      <rPr>
        <b/>
        <sz val="11"/>
        <color theme="1"/>
        <rFont val="Calibri"/>
        <family val="2"/>
        <scheme val="minor"/>
      </rPr>
      <t xml:space="preserve">
</t>
    </r>
  </si>
  <si>
    <t>Quotiteiten - samenvatting</t>
  </si>
  <si>
    <t>Quotiteiten - details</t>
  </si>
  <si>
    <t>Herstellingswerken lift</t>
  </si>
  <si>
    <r>
      <t xml:space="preserve">Doel
</t>
    </r>
    <r>
      <rPr>
        <sz val="11"/>
        <color theme="1"/>
        <rFont val="Calibri"/>
        <family val="2"/>
        <scheme val="minor"/>
      </rPr>
      <t>In dit tabblad worden alle achterliggende berekeningen uitgevoerd om de totaalprijs te bepalen, te berekenen welk deel in aanmerking komt voor de Mijn VerbouwLening VME, het resterende bedrag te bepalen dat eventueel geleend kan worden via een ander VME-krediet, en om het bedrag van de Mijn VerbouwPremie vast te stellen.</t>
    </r>
    <r>
      <rPr>
        <b/>
        <sz val="11"/>
        <color theme="1"/>
        <rFont val="Calibri"/>
        <family val="2"/>
        <scheme val="minor"/>
      </rPr>
      <t xml:space="preserve">
</t>
    </r>
  </si>
  <si>
    <r>
      <t xml:space="preserve">Stappenplan
</t>
    </r>
    <r>
      <rPr>
        <sz val="11"/>
        <color theme="1"/>
        <rFont val="Calibri"/>
        <family val="2"/>
        <scheme val="minor"/>
      </rPr>
      <t>1. Je ziet twee schema's op deze pagina</t>
    </r>
    <r>
      <rPr>
        <sz val="11"/>
        <rFont val="Calibri"/>
        <family val="2"/>
        <scheme val="minor"/>
      </rPr>
      <t xml:space="preserve"> "Quotiteiten - samenvatting"</t>
    </r>
    <r>
      <rPr>
        <sz val="11"/>
        <color theme="1"/>
        <rFont val="Calibri"/>
        <family val="2"/>
        <scheme val="minor"/>
      </rPr>
      <t xml:space="preserve"> (hier blijf je af) e</t>
    </r>
    <r>
      <rPr>
        <sz val="11"/>
        <rFont val="Calibri"/>
        <family val="2"/>
        <scheme val="minor"/>
      </rPr>
      <t>n "Quotiteiten - details"</t>
    </r>
    <r>
      <rPr>
        <sz val="11"/>
        <color theme="0" tint="-0.499984740745262"/>
        <rFont val="Calibri"/>
        <family val="2"/>
        <scheme val="minor"/>
      </rPr>
      <t xml:space="preserve"> </t>
    </r>
    <r>
      <rPr>
        <sz val="11"/>
        <color theme="1"/>
        <rFont val="Calibri"/>
        <family val="2"/>
        <scheme val="minor"/>
      </rPr>
      <t xml:space="preserve">(hieronder vul je alle kavels en hun bijhorende quotiteiten in).
2. Controleer of het totaal aantal quotiteiten overeenkomt met wat vermeld staat in de basisakte.
3. Controleer of de meest voorkomende quotiteit overeenkomt met de werkelijkheid. 
</t>
    </r>
    <r>
      <rPr>
        <u/>
        <sz val="11"/>
        <color theme="1"/>
        <rFont val="Calibri"/>
        <family val="2"/>
        <scheme val="minor"/>
      </rPr>
      <t>Let op:</t>
    </r>
    <r>
      <rPr>
        <sz val="11"/>
        <color theme="1"/>
        <rFont val="Calibri"/>
        <family val="2"/>
        <scheme val="minor"/>
      </rPr>
      <t xml:space="preserve"> als er van elke quotiteit evenveel kavels zijn (bijvoorbeeld 5 appartementen met Q15, 5 met Q20 en 5 met Q30), kan de automatische bepaling fout lopen. In dat geval kan je de formule in </t>
    </r>
    <r>
      <rPr>
        <i/>
        <sz val="11"/>
        <color theme="3"/>
        <rFont val="Calibri"/>
        <family val="2"/>
        <scheme val="minor"/>
      </rPr>
      <t xml:space="preserve">cel E4 </t>
    </r>
    <r>
      <rPr>
        <sz val="11"/>
        <color theme="1"/>
        <rFont val="Calibri"/>
        <family val="2"/>
        <scheme val="minor"/>
      </rPr>
      <t>handmatig overschrijven en zelf één van de quotiteiten kiezen.</t>
    </r>
    <r>
      <rPr>
        <b/>
        <sz val="11"/>
        <color theme="1"/>
        <rFont val="Calibri"/>
        <family val="2"/>
        <scheme val="minor"/>
      </rPr>
      <t xml:space="preserve">
</t>
    </r>
  </si>
  <si>
    <r>
      <rPr>
        <b/>
        <sz val="11"/>
        <color theme="1"/>
        <rFont val="Calibri"/>
        <family val="2"/>
        <scheme val="minor"/>
      </rPr>
      <t>Stappenplan</t>
    </r>
    <r>
      <rPr>
        <sz val="11"/>
        <color theme="1"/>
        <rFont val="Calibri"/>
        <family val="2"/>
        <scheme val="minor"/>
      </rPr>
      <t xml:space="preserve">
1. Als je geen verschillende scenario’s hebt, laat dan in cel </t>
    </r>
    <r>
      <rPr>
        <i/>
        <sz val="11"/>
        <color theme="3"/>
        <rFont val="Calibri"/>
        <family val="2"/>
        <scheme val="minor"/>
      </rPr>
      <t>C3</t>
    </r>
    <r>
      <rPr>
        <sz val="11"/>
        <color theme="1"/>
        <rFont val="Calibri"/>
        <family val="2"/>
        <scheme val="minor"/>
      </rPr>
      <t xml:space="preserve"> Scenario 1 staan.
2. Voor de categorieën Buitenmuur en Warmtepomp specificeer je het soort werken in kolom B.
3. De prijzen in kolom D overschrijf je niet, tenzij je het</t>
    </r>
    <r>
      <rPr>
        <i/>
        <sz val="11"/>
        <color theme="3"/>
        <rFont val="Calibri"/>
        <family val="2"/>
        <scheme val="minor"/>
      </rPr>
      <t xml:space="preserve"> tabblad Raming</t>
    </r>
    <r>
      <rPr>
        <sz val="11"/>
        <color theme="1"/>
        <rFont val="Calibri"/>
        <family val="2"/>
        <scheme val="minor"/>
      </rPr>
      <t xml:space="preserve"> niet gebruikt. In dat geval overschrijf je de formules van de bedragen en later ook de m² in kolom G.
4. Indien er bonussen van toepassing zijn, pas je deze aan in kolom H. Controleer altijd de voorwaarden op de website van Mijn VerbouwPremie.
5. Zodra alles rode tekst is nagekeken, lees je in kolom I (lichtgroen) de basispremie voor de VME; dit bedrag wordt gestort op de rekening van de VME.
6. In kolom J tot en met L zie je enkele tussenberekeningen.
7. In kolom N tot en met Q (lichtgroen) zie je de berekening van de basispremie plus de aanvullende premie voor de quotiteit die in cel N2 staat. Standaard wordt hier de meest voorkomende quotiteit ingevuld.
8. Wil je de quotiteit wijzigen? Dit kan via het </t>
    </r>
    <r>
      <rPr>
        <i/>
        <sz val="11"/>
        <color theme="3"/>
        <rFont val="Calibri"/>
        <family val="2"/>
        <scheme val="minor"/>
      </rPr>
      <t>tabblad Matrix Kavel</t>
    </r>
    <r>
      <rPr>
        <sz val="11"/>
        <color theme="1"/>
        <rFont val="Calibri"/>
        <family val="2"/>
        <scheme val="minor"/>
      </rPr>
      <t>. 
9. Alle bedragen worden doorgelinkt naar</t>
    </r>
    <r>
      <rPr>
        <i/>
        <sz val="11"/>
        <color theme="3"/>
        <rFont val="Calibri"/>
        <family val="2"/>
        <scheme val="minor"/>
      </rPr>
      <t xml:space="preserve"> tabblad Matrix Kavel </t>
    </r>
    <r>
      <rPr>
        <sz val="11"/>
        <color theme="1"/>
        <rFont val="Calibri"/>
        <family val="2"/>
        <scheme val="minor"/>
      </rPr>
      <t xml:space="preserve">om een overzicht te maken van alle opties.
10. Dit berekeningstabblad deel je niet met de VME.
</t>
    </r>
  </si>
  <si>
    <r>
      <t>Stappenplan</t>
    </r>
    <r>
      <rPr>
        <sz val="11"/>
        <color theme="1"/>
        <rFont val="Calibri"/>
        <family val="2"/>
        <scheme val="minor"/>
      </rPr>
      <t xml:space="preserve">
1. In cel </t>
    </r>
    <r>
      <rPr>
        <i/>
        <sz val="11"/>
        <color theme="3"/>
        <rFont val="Calibri"/>
        <family val="2"/>
        <scheme val="minor"/>
      </rPr>
      <t>B3</t>
    </r>
    <r>
      <rPr>
        <sz val="11"/>
        <color theme="1"/>
        <rFont val="Calibri"/>
        <family val="2"/>
        <scheme val="minor"/>
      </rPr>
      <t xml:space="preserve"> staat standaard de meest voorkomende quotiteit, die je voor een eerste berekening kunt laten staan. Indien gewenst kun je deze cel handmatig aanpassen om een specifieke kavel te simuleren. Je zult zien dat de berekeningen op het </t>
    </r>
    <r>
      <rPr>
        <i/>
        <sz val="11"/>
        <color theme="3"/>
        <rFont val="Calibri"/>
        <family val="2"/>
        <scheme val="minor"/>
      </rPr>
      <t>tabblad Berekening</t>
    </r>
    <r>
      <rPr>
        <sz val="11"/>
        <color theme="1"/>
        <rFont val="Calibri"/>
        <family val="2"/>
        <scheme val="minor"/>
      </rPr>
      <t xml:space="preserve">, kolom N tot Q, automatisch mee wijzigen. Deze berekeningen gebruiken de quotiteit uit cel </t>
    </r>
    <r>
      <rPr>
        <i/>
        <sz val="11"/>
        <color theme="3"/>
        <rFont val="Calibri"/>
        <family val="2"/>
        <scheme val="minor"/>
      </rPr>
      <t>B3</t>
    </r>
    <r>
      <rPr>
        <sz val="11"/>
        <color theme="1"/>
        <rFont val="Calibri"/>
        <family val="2"/>
        <scheme val="minor"/>
      </rPr>
      <t xml:space="preserve"> en worden daarna teruggekoppeld naar dit schema.
2. De vier financieringsopties zijn alleen van toepassing op residentiële kavels. Gaat het om een niet-residentieel kavel, zoals een handelszaak of parkeerplaats, dan gelden mogelijk niet alle opties. Verberg of grijs in de presentatie daarom de kolommen van optie 2 en optie 3 en de rijen met premies die niet relevant zijn, zodat eigenaars van niet-residentiële kavels geen onjuiste financieringsvoorstellen zien.
3. Bepaal of je enkel het eerste deel (aangeraden), het eerste en het tweede of alle delen uit dit tabblad toont aan de eigenaars.</t>
    </r>
    <r>
      <rPr>
        <b/>
        <sz val="11"/>
        <color theme="1"/>
        <rFont val="Calibri"/>
        <family val="2"/>
        <scheme val="minor"/>
      </rPr>
      <t xml:space="preserve">
</t>
    </r>
  </si>
  <si>
    <t>📘 Handleiding: Gebruik financieringsmatrix</t>
  </si>
  <si>
    <r>
      <rPr>
        <b/>
        <sz val="11"/>
        <color theme="1"/>
        <rFont val="Calibri"/>
        <family val="2"/>
        <scheme val="minor"/>
      </rPr>
      <t xml:space="preserve">Stappenplan
</t>
    </r>
    <r>
      <rPr>
        <sz val="11"/>
        <color theme="1"/>
        <rFont val="Calibri"/>
        <family val="2"/>
        <scheme val="minor"/>
      </rPr>
      <t xml:space="preserve">1. Je ziet 2 schema's op deze pagina </t>
    </r>
    <r>
      <rPr>
        <sz val="11"/>
        <rFont val="Calibri"/>
        <family val="2"/>
        <scheme val="minor"/>
      </rPr>
      <t>"Raming van de gemeenschappelijke kosten – samenvatting"</t>
    </r>
    <r>
      <rPr>
        <sz val="11"/>
        <color theme="1"/>
        <rFont val="Calibri"/>
        <family val="2"/>
        <scheme val="minor"/>
      </rPr>
      <t xml:space="preserve"> en "</t>
    </r>
    <r>
      <rPr>
        <sz val="11"/>
        <rFont val="Calibri"/>
        <family val="2"/>
        <scheme val="minor"/>
      </rPr>
      <t>Raming van de gemeenschappelijke kosten – details"</t>
    </r>
    <r>
      <rPr>
        <sz val="11"/>
        <color theme="1"/>
        <rFont val="Calibri"/>
        <family val="2"/>
        <scheme val="minor"/>
      </rPr>
      <t xml:space="preserve">. Blijf af van de samenvatting en vul alles in het detailschema in.
2. Kopieer of typ alle gegevens uit de raming of offerte in de juiste kolommen van het detailschema.
3. Vul minimaal de volgende kolommen in: D (m²), E (prijs)
4. Vul de premie categorie in in kolom F. Zorg ervoor dat je alles invult, ook als er geen premie is.
</t>
    </r>
    <r>
      <rPr>
        <u/>
        <sz val="11"/>
        <color theme="1"/>
        <rFont val="Calibri"/>
        <family val="2"/>
        <scheme val="minor"/>
      </rPr>
      <t>Let op:</t>
    </r>
    <r>
      <rPr>
        <sz val="11"/>
        <color theme="1"/>
        <rFont val="Calibri"/>
        <family val="2"/>
        <scheme val="minor"/>
      </rPr>
      <t xml:space="preserve"> Wanneer in de raming of offerte geen duidelijk onderscheid wordt gemaakt tussen isolatiekosten en renovatiekosten, kies je altijd voor de isolatiekost. Houd er rekening mee dat de basispremie hierdoor te hoog wordt ingeschat; dit moet je expliciet vermelden.Kies je daarentegen voor renovatie, dan wordt de kost helemaal niet meegerekend bij de Vlaamse lening of premie. Dit komt doordat de ingebouwde formule bepaalt dat renovatiekosten enkel in aanmerking komen voor de aanvullende premie wanneer er óók isolatiekosten in de raming of offerte zijn opgenomen. 
</t>
    </r>
    <r>
      <rPr>
        <u/>
        <sz val="11"/>
        <color theme="1"/>
        <rFont val="Calibri"/>
        <family val="2"/>
        <scheme val="minor"/>
      </rPr>
      <t xml:space="preserve">Let op: </t>
    </r>
    <r>
      <rPr>
        <sz val="11"/>
        <color theme="1"/>
        <rFont val="Calibri"/>
        <family val="2"/>
        <scheme val="minor"/>
      </rPr>
      <t xml:space="preserve">Wanneer in de raming bijvoorbeeld isolatie 30 m², regenscherm 30 m² en geventileerde gevel 30 m² staat, telt het samenvattingsschema deze oppervlakten automatisch samen. Hierdoor krijg je het resultaat isolatie = 30 m² en renovatie = 60 m². Dit betekent dat de renovatie-oppervlakte dubbel wordt meegerekend. Om dit te corrigeren moet je een manuele aanpassing doen. Je kan dit oplossen door de waarde rechtstreeks te overschrijven in het samenvattingsoverzicht of door de dubbele vierkante meters bij de betrokken posten te verwijderen.
5. Vul een “x” in bij de scenario’s in kolom G tot en met L waarin je deze post wil laten meetellen.
5. Controleer in het samenvattingsschema of de kostprijs en m² van de scenario’s correct worden bijgewerkt op basis van de ingevulde “x”.
6. Als je geen verschillende scenario’s gebruikt, zet dan alsnog voor alle posten een “x” bij Scenario 1 (kolom G).
</t>
    </r>
  </si>
  <si>
    <t>Versie 20250930</t>
  </si>
  <si>
    <r>
      <rPr>
        <b/>
        <sz val="11"/>
        <color theme="1"/>
        <rFont val="Calibri"/>
        <family val="2"/>
        <scheme val="minor"/>
      </rPr>
      <t>Doel</t>
    </r>
    <r>
      <rPr>
        <sz val="11"/>
        <color theme="1"/>
        <rFont val="Calibri"/>
        <family val="2"/>
        <scheme val="minor"/>
      </rPr>
      <t xml:space="preserve">
Dit tabblad geeft een overzicht van de financiële impact per kavel en kan gekopieerd worden in een presentatie om de situatie toe te lichten aan de eigenaars. De berekeningen gebeuren automatisch, op basis van de gemiddelde quotiteit uit het </t>
    </r>
    <r>
      <rPr>
        <i/>
        <sz val="11"/>
        <color theme="3"/>
        <rFont val="Calibri"/>
        <family val="2"/>
        <scheme val="minor"/>
      </rPr>
      <t>tabblad Quotiteiten</t>
    </r>
    <r>
      <rPr>
        <sz val="11"/>
        <color theme="1"/>
        <rFont val="Calibri"/>
        <family val="2"/>
        <scheme val="minor"/>
      </rPr>
      <t>. 
Het tabblad bestaat uit drie delen:
  1. Simulatie van vier financieringsmogelijkheden voor dit kavel. Dit vormt het kernstuk voor een eerste financiële inschatting.
  2. Simulatie van de Mijn VerbouwPremie voor dit kavel.
  3. Netto-investering na premie, berekend als het verschil tussen de totale investering</t>
    </r>
    <r>
      <rPr>
        <sz val="11"/>
        <color theme="3"/>
        <rFont val="Calibri"/>
        <family val="2"/>
        <scheme val="minor"/>
      </rPr>
      <t xml:space="preserve"> </t>
    </r>
    <r>
      <rPr>
        <i/>
        <sz val="11"/>
        <color theme="3"/>
        <rFont val="Calibri"/>
        <family val="2"/>
        <scheme val="minor"/>
      </rPr>
      <t>rij 14</t>
    </r>
    <r>
      <rPr>
        <sz val="11"/>
        <color theme="1"/>
        <rFont val="Calibri"/>
        <family val="2"/>
        <scheme val="minor"/>
      </rPr>
      <t xml:space="preserve"> en de simmulatie van de Mijn VerbouwPremie.
Dit overzicht is ideaal voor een eerste financiële inschatting, maar hou er rekening mee dat het voor sommige eigenaars complex kan zijn. Toon daarom enkel de relevante delen, afhankelijk van het moment en het doel van het gesprek.
</t>
    </r>
  </si>
  <si>
    <r>
      <rPr>
        <b/>
        <sz val="11"/>
        <color theme="1"/>
        <rFont val="Calibri"/>
        <family val="2"/>
        <scheme val="minor"/>
      </rPr>
      <t xml:space="preserve">Versie 20251215 - </t>
    </r>
    <r>
      <rPr>
        <sz val="11"/>
        <color theme="1"/>
        <rFont val="Calibri"/>
        <family val="2"/>
        <scheme val="minor"/>
      </rPr>
      <t>update tabblad "berekening" &gt; berekening proportioneel aandeel in de kosten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</si>
</sst>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 #,##0.00;[Red]&quot;€&quot;\ \-#,##0.00"/>
    <numFmt numFmtId="42" formatCode="_ &quot;€&quot;\ * #,##0_ ;_ &quot;€&quot;\ * \-#,##0_ ;_ &quot;€&quot;\ * &quot;-&quot;_ ;_ @_ "/>
    <numFmt numFmtId="44" formatCode="_ &quot;€&quot;\ * #,##0.00_ ;_ &quot;€&quot;\ * \-#,##0.00_ ;_ &quot;€&quot;\ * &quot;-&quot;??_ ;_ @_ "/>
    <numFmt numFmtId="164" formatCode="#,##0\ &quot;€&quot;;\-#,##0\ &quot;€&quot;"/>
    <numFmt numFmtId="165" formatCode="_-* #,##0.00\ &quot;€&quot;_-;\-* #,##0.00\ &quot;€&quot;_-;_-* &quot;-&quot;??\ &quot;€&quot;_-;_-@_-"/>
    <numFmt numFmtId="166" formatCode="_-* #,##0.00_-;\-* #,##0.00_-;_-* &quot;-&quot;??_-;_-@_-"/>
    <numFmt numFmtId="167" formatCode="_ &quot;€&quot;\ * #,##0_ ;_ &quot;€&quot;\ * \-#,##0_ ;_ &quot;€&quot;\ * &quot;-&quot;??_ ;_ @_ "/>
    <numFmt numFmtId="168" formatCode="#,##0\ &quot;€&quot;"/>
    <numFmt numFmtId="169" formatCode="&quot;€&quot;\ #,##0.00"/>
    <numFmt numFmtId="170" formatCode="_-* #,##0\ &quot;€&quot;_-;\-* #,##0\ &quot;€&quot;_-;_-* &quot;-&quot;??\ &quot;€&quot;_-;_-@_-"/>
    <numFmt numFmtId="171" formatCode="&quot;€&quot;\ #,##0"/>
    <numFmt numFmtId="172" formatCode="0.0000000%"/>
    <numFmt numFmtId="173" formatCode="_ [$€-813]\ * #,##0_ ;_ [$€-813]\ * \-#,##0_ ;_ [$€-813]\ * &quot;-&quot;??_ ;_ @_ "/>
  </numFmts>
  <fonts count="86"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name val="Calibri"/>
      <family val="2"/>
      <scheme val="minor"/>
    </font>
    <font>
      <sz val="12"/>
      <name val="Helvetica"/>
      <family val="2"/>
    </font>
    <font>
      <b/>
      <sz val="12"/>
      <name val="Helvetica"/>
      <family val="2"/>
    </font>
    <font>
      <sz val="11"/>
      <name val="Helvetica"/>
      <family val="2"/>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9"/>
      <name val="Calibri"/>
      <family val="2"/>
      <scheme val="minor"/>
    </font>
    <font>
      <sz val="20"/>
      <color theme="0"/>
      <name val="Calibri"/>
      <family val="2"/>
      <scheme val="minor"/>
    </font>
    <font>
      <sz val="11"/>
      <name val="Calibri"/>
      <family val="2"/>
    </font>
    <font>
      <sz val="10"/>
      <name val="Arial"/>
      <family val="2"/>
    </font>
    <font>
      <b/>
      <sz val="10"/>
      <name val="Arial"/>
      <family val="2"/>
    </font>
    <font>
      <sz val="10"/>
      <color indexed="8"/>
      <name val="Arial"/>
      <family val="2"/>
    </font>
    <font>
      <sz val="11"/>
      <color theme="1"/>
      <name val="Calibri"/>
      <family val="2"/>
      <scheme val="minor"/>
    </font>
    <font>
      <sz val="10"/>
      <name val="Arial"/>
      <family val="2"/>
    </font>
    <font>
      <sz val="10"/>
      <color theme="1"/>
      <name val="Arial Narrow"/>
      <family val="2"/>
    </font>
    <font>
      <sz val="11"/>
      <name val="Calibri"/>
      <family val="2"/>
    </font>
    <font>
      <sz val="12"/>
      <color theme="1"/>
      <name val="Calibri"/>
      <family val="2"/>
      <scheme val="minor"/>
    </font>
    <font>
      <sz val="11"/>
      <name val="Calibri"/>
      <family val="2"/>
      <scheme val="minor"/>
    </font>
    <font>
      <sz val="10"/>
      <name val="Arial"/>
      <family val="2"/>
    </font>
    <font>
      <sz val="11"/>
      <name val="Calibri"/>
      <family val="2"/>
    </font>
    <font>
      <sz val="11"/>
      <color rgb="FF9C0006"/>
      <name val="Calibri"/>
      <family val="2"/>
      <scheme val="minor"/>
    </font>
    <font>
      <sz val="10"/>
      <name val="Arial"/>
      <family val="2"/>
    </font>
    <font>
      <sz val="8"/>
      <name val="Calibri"/>
      <family val="2"/>
      <scheme val="minor"/>
    </font>
    <font>
      <sz val="10"/>
      <name val="Calibri"/>
      <family val="2"/>
    </font>
    <font>
      <sz val="11"/>
      <color theme="0" tint="-0.499984740745262"/>
      <name val="Calibri"/>
      <family val="2"/>
      <scheme val="minor"/>
    </font>
    <font>
      <sz val="11"/>
      <color theme="0" tint="-0.34998626667073579"/>
      <name val="Calibri"/>
      <family val="2"/>
      <scheme val="minor"/>
    </font>
    <font>
      <u/>
      <sz val="11"/>
      <color theme="10"/>
      <name val="Calibri"/>
      <family val="2"/>
      <scheme val="minor"/>
    </font>
    <font>
      <b/>
      <sz val="16"/>
      <name val="Arial"/>
      <family val="2"/>
    </font>
    <font>
      <sz val="16"/>
      <name val="Arial"/>
      <family val="2"/>
    </font>
    <font>
      <b/>
      <sz val="10"/>
      <color rgb="FF209F82"/>
      <name val="Arial"/>
      <family val="2"/>
    </font>
    <font>
      <u/>
      <sz val="10"/>
      <color theme="10"/>
      <name val="Arial"/>
      <family val="2"/>
    </font>
    <font>
      <b/>
      <sz val="11"/>
      <color theme="0" tint="-4.9989318521683403E-2"/>
      <name val="Arial"/>
      <family val="2"/>
    </font>
    <font>
      <sz val="11"/>
      <color theme="1"/>
      <name val="Arial"/>
      <family val="2"/>
    </font>
    <font>
      <sz val="11"/>
      <color rgb="FF9C0006"/>
      <name val="Arial"/>
      <family val="2"/>
    </font>
    <font>
      <sz val="11"/>
      <color theme="0"/>
      <name val="Helvetica"/>
      <family val="2"/>
    </font>
    <font>
      <b/>
      <sz val="9"/>
      <color theme="0"/>
      <name val="Calibri"/>
      <family val="2"/>
      <scheme val="minor"/>
    </font>
    <font>
      <b/>
      <sz val="9"/>
      <color rgb="FFFF0000"/>
      <name val="Calibri"/>
      <family val="2"/>
      <scheme val="minor"/>
    </font>
    <font>
      <i/>
      <sz val="11"/>
      <color theme="0" tint="-0.34998626667073579"/>
      <name val="Calibri"/>
      <family val="2"/>
      <scheme val="minor"/>
    </font>
    <font>
      <u/>
      <sz val="11"/>
      <color theme="1"/>
      <name val="Calibri"/>
      <family val="2"/>
      <scheme val="minor"/>
    </font>
    <font>
      <b/>
      <i/>
      <sz val="11"/>
      <name val="Calibri"/>
      <family val="2"/>
      <scheme val="minor"/>
    </font>
    <font>
      <b/>
      <sz val="10"/>
      <color rgb="FFFF0000"/>
      <name val="Calibri"/>
      <family val="2"/>
      <scheme val="minor"/>
    </font>
    <font>
      <b/>
      <sz val="11"/>
      <color theme="1" tint="4.9989318521683403E-2"/>
      <name val="Calibri"/>
      <family val="2"/>
      <scheme val="minor"/>
    </font>
    <font>
      <b/>
      <sz val="11"/>
      <color theme="0" tint="-0.34998626667073579"/>
      <name val="Calibri"/>
      <family val="2"/>
      <scheme val="minor"/>
    </font>
    <font>
      <b/>
      <i/>
      <sz val="11"/>
      <color theme="0" tint="-0.34998626667073579"/>
      <name val="Calibri"/>
      <family val="2"/>
      <scheme val="minor"/>
    </font>
    <font>
      <u/>
      <sz val="11"/>
      <color theme="0" tint="-0.34998626667073579"/>
      <name val="Calibri"/>
      <family val="2"/>
      <scheme val="minor"/>
    </font>
    <font>
      <sz val="12"/>
      <name val="Helvetica"/>
    </font>
    <font>
      <sz val="10"/>
      <color theme="1"/>
      <name val="Arial"/>
      <family val="2"/>
    </font>
    <font>
      <b/>
      <sz val="10"/>
      <color indexed="8"/>
      <name val="Arial"/>
      <family val="2"/>
    </font>
    <font>
      <sz val="10"/>
      <color theme="1"/>
      <name val="Calibri"/>
      <family val="2"/>
      <scheme val="minor"/>
    </font>
    <font>
      <sz val="10"/>
      <color theme="1" tint="4.9989318521683403E-2"/>
      <name val="Calibri"/>
      <family val="2"/>
      <scheme val="minor"/>
    </font>
    <font>
      <b/>
      <u/>
      <sz val="11"/>
      <color theme="1"/>
      <name val="Calibri"/>
      <family val="2"/>
      <scheme val="minor"/>
    </font>
    <font>
      <sz val="11"/>
      <color theme="1" tint="4.9989318521683403E-2"/>
      <name val="Calibri"/>
      <family val="2"/>
      <scheme val="minor"/>
    </font>
    <font>
      <b/>
      <sz val="16"/>
      <color theme="1"/>
      <name val="Calibri"/>
      <family val="2"/>
      <scheme val="minor"/>
    </font>
    <font>
      <i/>
      <sz val="11"/>
      <color theme="1"/>
      <name val="Calibri"/>
      <family val="2"/>
      <scheme val="minor"/>
    </font>
    <font>
      <sz val="11"/>
      <color theme="3"/>
      <name val="Calibri"/>
      <family val="2"/>
      <scheme val="minor"/>
    </font>
    <font>
      <b/>
      <u/>
      <sz val="11"/>
      <color theme="4" tint="-0.249977111117893"/>
      <name val="Calibri"/>
      <family val="2"/>
      <scheme val="minor"/>
    </font>
    <font>
      <b/>
      <u/>
      <sz val="11"/>
      <color theme="6"/>
      <name val="Calibri"/>
      <family val="2"/>
      <scheme val="minor"/>
    </font>
    <font>
      <i/>
      <sz val="11"/>
      <color theme="3"/>
      <name val="Calibri"/>
      <family val="2"/>
      <scheme val="minor"/>
    </font>
    <font>
      <b/>
      <sz val="10"/>
      <color rgb="FFFF0000"/>
      <name val="Arial"/>
      <family val="2"/>
    </font>
    <font>
      <b/>
      <sz val="10"/>
      <color indexed="10"/>
      <name val="Arial"/>
      <family val="2"/>
    </font>
    <font>
      <sz val="16"/>
      <color theme="1"/>
      <name val="Calibri"/>
      <family val="2"/>
      <scheme val="minor"/>
    </font>
    <font>
      <i/>
      <u/>
      <sz val="11"/>
      <color theme="1"/>
      <name val="Calibri"/>
      <family val="2"/>
      <scheme val="minor"/>
    </font>
    <font>
      <i/>
      <sz val="9"/>
      <color rgb="FF209F82"/>
      <name val="Arial"/>
      <family val="2"/>
    </font>
    <font>
      <b/>
      <sz val="12"/>
      <color rgb="FFFF0000"/>
      <name val="Calibri"/>
      <family val="2"/>
      <scheme val="minor"/>
    </font>
    <font>
      <b/>
      <sz val="10"/>
      <color indexed="8"/>
      <name val="Calibri"/>
      <family val="2"/>
    </font>
    <font>
      <b/>
      <sz val="10"/>
      <color theme="1"/>
      <name val="Calibri"/>
      <family val="2"/>
      <scheme val="minor"/>
    </font>
    <font>
      <sz val="10"/>
      <name val="Calibri"/>
      <family val="2"/>
      <scheme val="minor"/>
    </font>
    <font>
      <sz val="10"/>
      <color rgb="FFFF0000"/>
      <name val="Calibri"/>
      <family val="2"/>
      <scheme val="minor"/>
    </font>
    <font>
      <b/>
      <sz val="10"/>
      <name val="Calibri"/>
      <family val="2"/>
      <scheme val="minor"/>
    </font>
    <font>
      <sz val="10"/>
      <color theme="0"/>
      <name val="Calibri"/>
      <family val="2"/>
      <scheme val="minor"/>
    </font>
    <font>
      <b/>
      <sz val="10"/>
      <color theme="0"/>
      <name val="Calibri"/>
      <family val="2"/>
      <scheme val="minor"/>
    </font>
    <font>
      <b/>
      <sz val="10"/>
      <color indexed="8"/>
      <name val="Calibri"/>
      <family val="2"/>
      <scheme val="minor"/>
    </font>
    <font>
      <b/>
      <sz val="12"/>
      <name val="Calibri"/>
      <family val="2"/>
      <scheme val="minor"/>
    </font>
    <font>
      <sz val="12"/>
      <name val="Calibri"/>
      <family val="2"/>
      <scheme val="minor"/>
    </font>
    <font>
      <b/>
      <u/>
      <sz val="12"/>
      <name val="Calibri"/>
      <family val="2"/>
      <scheme val="minor"/>
    </font>
    <font>
      <sz val="14"/>
      <name val="Calibri"/>
      <family val="2"/>
      <scheme val="minor"/>
    </font>
    <font>
      <b/>
      <sz val="12"/>
      <color theme="1"/>
      <name val="Calibri"/>
      <family val="2"/>
      <scheme val="minor"/>
    </font>
    <font>
      <sz val="11"/>
      <color theme="6"/>
      <name val="Calibri"/>
      <family val="2"/>
      <scheme val="minor"/>
    </font>
    <font>
      <b/>
      <sz val="20"/>
      <color rgb="FFFF0000"/>
      <name val="Calibri"/>
      <family val="2"/>
      <scheme val="minor"/>
    </font>
  </fonts>
  <fills count="18">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8"/>
      </patternFill>
    </fill>
    <fill>
      <patternFill patternType="solid">
        <fgColor theme="0" tint="-0.34998626667073579"/>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rgb="FFFFC7CE"/>
      </patternFill>
    </fill>
    <fill>
      <patternFill patternType="solid">
        <fgColor rgb="FF209F82"/>
        <bgColor indexed="64"/>
      </patternFill>
    </fill>
    <fill>
      <patternFill patternType="solid">
        <fgColor rgb="FFD8E4BC"/>
        <bgColor indexed="64"/>
      </patternFill>
    </fill>
    <fill>
      <patternFill patternType="lightUp">
        <fgColor theme="0" tint="-0.24994659260841701"/>
        <bgColor indexed="65"/>
      </patternFill>
    </fill>
    <fill>
      <patternFill patternType="darkUp">
        <fgColor theme="0"/>
        <bgColor theme="6" tint="0.39994506668294322"/>
      </patternFill>
    </fill>
    <fill>
      <patternFill patternType="solid">
        <fgColor theme="6" tint="0.59999389629810485"/>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6" tint="0.79998168889431442"/>
        <bgColor indexed="64"/>
      </patternFill>
    </fill>
  </fills>
  <borders count="13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hair">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medium">
        <color indexed="64"/>
      </left>
      <right style="medium">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theme="1"/>
      </top>
      <bottom/>
      <diagonal/>
    </border>
    <border>
      <left/>
      <right style="medium">
        <color indexed="64"/>
      </right>
      <top style="medium">
        <color theme="1"/>
      </top>
      <bottom/>
      <diagonal/>
    </border>
    <border>
      <left style="medium">
        <color indexed="64"/>
      </left>
      <right style="medium">
        <color indexed="64"/>
      </right>
      <top/>
      <bottom style="medium">
        <color theme="1"/>
      </bottom>
      <diagonal/>
    </border>
    <border>
      <left/>
      <right style="medium">
        <color indexed="64"/>
      </right>
      <top/>
      <bottom style="medium">
        <color theme="1"/>
      </bottom>
      <diagonal/>
    </border>
    <border>
      <left style="medium">
        <color indexed="64"/>
      </left>
      <right/>
      <top/>
      <bottom style="medium">
        <color theme="1"/>
      </bottom>
      <diagonal/>
    </border>
    <border>
      <left style="medium">
        <color indexed="64"/>
      </left>
      <right style="thin">
        <color indexed="64"/>
      </right>
      <top/>
      <bottom style="medium">
        <color theme="1"/>
      </bottom>
      <diagonal/>
    </border>
    <border>
      <left style="medium">
        <color indexed="64"/>
      </left>
      <right style="thin">
        <color indexed="64"/>
      </right>
      <top/>
      <bottom style="medium">
        <color indexed="64"/>
      </bottom>
      <diagonal/>
    </border>
    <border>
      <left style="medium">
        <color theme="1"/>
      </left>
      <right/>
      <top style="medium">
        <color theme="1"/>
      </top>
      <bottom/>
      <diagonal/>
    </border>
    <border>
      <left style="medium">
        <color indexed="64"/>
      </left>
      <right/>
      <top style="medium">
        <color theme="1"/>
      </top>
      <bottom style="medium">
        <color indexed="64"/>
      </bottom>
      <diagonal/>
    </border>
    <border>
      <left style="thin">
        <color indexed="64"/>
      </left>
      <right/>
      <top style="medium">
        <color theme="1"/>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style="medium">
        <color theme="1"/>
      </left>
      <right style="thin">
        <color indexed="64"/>
      </right>
      <top style="thin">
        <color indexed="64"/>
      </top>
      <bottom/>
      <diagonal/>
    </border>
    <border>
      <left style="thin">
        <color indexed="64"/>
      </left>
      <right/>
      <top/>
      <bottom style="medium">
        <color theme="1"/>
      </bottom>
      <diagonal/>
    </border>
    <border>
      <left style="thin">
        <color indexed="64"/>
      </left>
      <right style="medium">
        <color indexed="64"/>
      </right>
      <top style="thin">
        <color theme="0" tint="-0.34998626667073579"/>
      </top>
      <bottom/>
      <diagonal/>
    </border>
    <border>
      <left style="medium">
        <color indexed="64"/>
      </left>
      <right style="medium">
        <color indexed="64"/>
      </right>
      <top style="thin">
        <color theme="0" tint="-0.34998626667073579"/>
      </top>
      <bottom/>
      <diagonal/>
    </border>
    <border>
      <left/>
      <right style="medium">
        <color indexed="64"/>
      </right>
      <top style="thin">
        <color theme="0" tint="-0.34998626667073579"/>
      </top>
      <bottom/>
      <diagonal/>
    </border>
    <border>
      <left style="medium">
        <color indexed="64"/>
      </left>
      <right/>
      <top style="thin">
        <color theme="0" tint="-0.34998626667073579"/>
      </top>
      <bottom/>
      <diagonal/>
    </border>
    <border>
      <left style="medium">
        <color indexed="64"/>
      </left>
      <right style="thin">
        <color indexed="64"/>
      </right>
      <top style="thin">
        <color theme="0" tint="-0.34998626667073579"/>
      </top>
      <bottom/>
      <diagonal/>
    </border>
    <border>
      <left/>
      <right/>
      <top/>
      <bottom style="thin">
        <color theme="0" tint="-0.34998626667073579"/>
      </bottom>
      <diagonal/>
    </border>
    <border>
      <left style="medium">
        <color indexed="64"/>
      </left>
      <right style="medium">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bottom style="thin">
        <color theme="0" tint="-0.34998626667073579"/>
      </bottom>
      <diagonal/>
    </border>
    <border>
      <left/>
      <right/>
      <top style="thin">
        <color theme="0" tint="-0.34998626667073579"/>
      </top>
      <bottom/>
      <diagonal/>
    </border>
    <border>
      <left/>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medium">
        <color theme="1"/>
      </right>
      <top/>
      <bottom/>
      <diagonal/>
    </border>
    <border>
      <left/>
      <right style="thin">
        <color indexed="64"/>
      </right>
      <top style="thin">
        <color theme="0" tint="-0.34998626667073579"/>
      </top>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bottom style="medium">
        <color theme="1"/>
      </bottom>
      <diagonal/>
    </border>
    <border>
      <left style="medium">
        <color theme="1"/>
      </left>
      <right style="medium">
        <color theme="1"/>
      </right>
      <top style="medium">
        <color theme="1"/>
      </top>
      <bottom style="medium">
        <color theme="1"/>
      </bottom>
      <diagonal/>
    </border>
    <border>
      <left style="thin">
        <color indexed="64"/>
      </left>
      <right/>
      <top style="thin">
        <color theme="0" tint="-0.34998626667073579"/>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style="medium">
        <color indexed="64"/>
      </left>
      <right style="medium">
        <color indexed="64"/>
      </right>
      <top style="medium">
        <color theme="1"/>
      </top>
      <bottom style="medium">
        <color theme="1"/>
      </bottom>
      <diagonal/>
    </border>
    <border>
      <left/>
      <right style="medium">
        <color indexed="64"/>
      </right>
      <top style="medium">
        <color theme="1"/>
      </top>
      <bottom style="medium">
        <color theme="1"/>
      </bottom>
      <diagonal/>
    </border>
    <border>
      <left style="medium">
        <color indexed="64"/>
      </left>
      <right/>
      <top style="medium">
        <color theme="1"/>
      </top>
      <bottom style="medium">
        <color theme="1"/>
      </bottom>
      <diagonal/>
    </border>
    <border>
      <left style="medium">
        <color indexed="64"/>
      </left>
      <right style="thin">
        <color indexed="64"/>
      </right>
      <top style="medium">
        <color theme="1"/>
      </top>
      <bottom style="medium">
        <color theme="1"/>
      </bottom>
      <diagonal/>
    </border>
    <border>
      <left/>
      <right style="medium">
        <color theme="1"/>
      </right>
      <top style="medium">
        <color theme="1"/>
      </top>
      <bottom style="medium">
        <color theme="1"/>
      </bottom>
      <diagonal/>
    </border>
    <border>
      <left/>
      <right style="medium">
        <color theme="1"/>
      </right>
      <top/>
      <bottom style="medium">
        <color indexed="64"/>
      </bottom>
      <diagonal/>
    </border>
    <border>
      <left/>
      <right style="medium">
        <color theme="1"/>
      </right>
      <top style="thin">
        <color theme="0" tint="-0.34998626667073579"/>
      </top>
      <bottom style="thin">
        <color theme="0" tint="-0.34998626667073579"/>
      </bottom>
      <diagonal/>
    </border>
    <border>
      <left/>
      <right style="medium">
        <color theme="1"/>
      </right>
      <top style="medium">
        <color indexed="64"/>
      </top>
      <bottom style="medium">
        <color indexed="64"/>
      </bottom>
      <diagonal/>
    </border>
    <border>
      <left/>
      <right style="medium">
        <color theme="1"/>
      </right>
      <top/>
      <bottom style="thin">
        <color theme="0" tint="-0.34998626667073579"/>
      </bottom>
      <diagonal/>
    </border>
    <border>
      <left/>
      <right style="medium">
        <color theme="1"/>
      </right>
      <top style="thin">
        <color theme="0" tint="-0.34998626667073579"/>
      </top>
      <bottom/>
      <diagonal/>
    </border>
    <border>
      <left/>
      <right style="medium">
        <color theme="1"/>
      </right>
      <top/>
      <bottom style="medium">
        <color theme="1"/>
      </bottom>
      <diagonal/>
    </border>
    <border>
      <left style="thin">
        <color indexed="64"/>
      </left>
      <right/>
      <top/>
      <bottom style="thin">
        <color theme="0" tint="-0.34998626667073579"/>
      </bottom>
      <diagonal/>
    </border>
    <border>
      <left style="thin">
        <color indexed="64"/>
      </left>
      <right/>
      <top style="medium">
        <color theme="1"/>
      </top>
      <bottom style="medium">
        <color theme="1"/>
      </bottom>
      <diagonal/>
    </border>
    <border>
      <left style="medium">
        <color theme="1"/>
      </left>
      <right style="medium">
        <color theme="1"/>
      </right>
      <top style="medium">
        <color theme="1"/>
      </top>
      <bottom style="medium">
        <color indexed="64"/>
      </bottom>
      <diagonal/>
    </border>
    <border>
      <left style="medium">
        <color theme="1"/>
      </left>
      <right style="medium">
        <color theme="1"/>
      </right>
      <top style="medium">
        <color indexed="64"/>
      </top>
      <bottom style="medium">
        <color indexed="64"/>
      </bottom>
      <diagonal/>
    </border>
    <border>
      <left style="medium">
        <color theme="1"/>
      </left>
      <right style="medium">
        <color theme="1"/>
      </right>
      <top/>
      <bottom/>
      <diagonal/>
    </border>
    <border>
      <left style="medium">
        <color theme="1"/>
      </left>
      <right style="medium">
        <color theme="1"/>
      </right>
      <top style="thin">
        <color theme="0" tint="-0.34998626667073579"/>
      </top>
      <bottom/>
      <diagonal/>
    </border>
    <border>
      <left style="medium">
        <color theme="1"/>
      </left>
      <right style="medium">
        <color theme="1"/>
      </right>
      <top/>
      <bottom style="thin">
        <color theme="0" tint="-0.34998626667073579"/>
      </bottom>
      <diagonal/>
    </border>
    <border>
      <left style="medium">
        <color theme="1"/>
      </left>
      <right style="medium">
        <color theme="1"/>
      </right>
      <top style="thin">
        <color theme="0" tint="-0.34998626667073579"/>
      </top>
      <bottom style="thin">
        <color theme="0" tint="-0.34998626667073579"/>
      </bottom>
      <diagonal/>
    </border>
    <border>
      <left style="medium">
        <color theme="1"/>
      </left>
      <right style="medium">
        <color theme="1"/>
      </right>
      <top/>
      <bottom style="medium">
        <color theme="1"/>
      </bottom>
      <diagonal/>
    </border>
    <border>
      <left/>
      <right style="medium">
        <color theme="1"/>
      </right>
      <top style="medium">
        <color theme="1"/>
      </top>
      <bottom style="medium">
        <color indexed="64"/>
      </bottom>
      <diagonal/>
    </border>
    <border>
      <left style="medium">
        <color theme="1"/>
      </left>
      <right style="medium">
        <color theme="1"/>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style="hair">
        <color indexed="64"/>
      </top>
      <bottom style="hair">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s>
  <cellStyleXfs count="40">
    <xf numFmtId="0" fontId="0" fillId="0" borderId="0"/>
    <xf numFmtId="0" fontId="15" fillId="0" borderId="0"/>
    <xf numFmtId="0" fontId="16" fillId="0" borderId="0"/>
    <xf numFmtId="0" fontId="18" fillId="0" borderId="0"/>
    <xf numFmtId="0" fontId="4" fillId="5" borderId="0" applyNumberFormat="0" applyBorder="0" applyAlignment="0" applyProtection="0"/>
    <xf numFmtId="166" fontId="19" fillId="0" borderId="0" applyFont="0" applyFill="0" applyBorder="0" applyAlignment="0" applyProtection="0"/>
    <xf numFmtId="0" fontId="20" fillId="0" borderId="0"/>
    <xf numFmtId="165"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xf numFmtId="0" fontId="23" fillId="0" borderId="0"/>
    <xf numFmtId="9" fontId="23" fillId="0" borderId="0" applyFont="0" applyFill="0" applyBorder="0" applyAlignment="0" applyProtection="0"/>
    <xf numFmtId="0" fontId="15" fillId="0" borderId="0"/>
    <xf numFmtId="9" fontId="16" fillId="0" borderId="0" applyFont="0" applyFill="0" applyBorder="0" applyAlignment="0" applyProtection="0"/>
    <xf numFmtId="165" fontId="16" fillId="0" borderId="0" applyFont="0" applyFill="0" applyBorder="0" applyAlignment="0" applyProtection="0"/>
    <xf numFmtId="0" fontId="16" fillId="0" borderId="0"/>
    <xf numFmtId="0" fontId="25" fillId="0" borderId="0"/>
    <xf numFmtId="165" fontId="25" fillId="0" borderId="0" applyFont="0" applyFill="0" applyBorder="0" applyAlignment="0" applyProtection="0"/>
    <xf numFmtId="9" fontId="25" fillId="0" borderId="0" applyFont="0" applyFill="0" applyBorder="0" applyAlignment="0" applyProtection="0"/>
    <xf numFmtId="0" fontId="16" fillId="0" borderId="0"/>
    <xf numFmtId="165" fontId="16" fillId="0" borderId="0" applyFont="0" applyFill="0" applyBorder="0" applyAlignment="0" applyProtection="0"/>
    <xf numFmtId="9" fontId="16" fillId="0" borderId="0" applyFont="0" applyFill="0" applyBorder="0" applyAlignment="0" applyProtection="0"/>
    <xf numFmtId="0" fontId="26" fillId="0" borderId="0"/>
    <xf numFmtId="44" fontId="19" fillId="0" borderId="0" applyFont="0" applyFill="0" applyBorder="0" applyAlignment="0" applyProtection="0"/>
    <xf numFmtId="0" fontId="27" fillId="9" borderId="0" applyNumberFormat="0" applyBorder="0" applyAlignment="0" applyProtection="0"/>
    <xf numFmtId="0" fontId="28" fillId="0" borderId="0"/>
    <xf numFmtId="165" fontId="28" fillId="0" borderId="0" applyFont="0" applyFill="0" applyBorder="0" applyAlignment="0" applyProtection="0"/>
    <xf numFmtId="9" fontId="28" fillId="0" borderId="0" applyFont="0" applyFill="0" applyBorder="0" applyAlignment="0" applyProtection="0"/>
    <xf numFmtId="0" fontId="30" fillId="0" borderId="0"/>
    <xf numFmtId="0" fontId="19" fillId="0" borderId="0"/>
    <xf numFmtId="0" fontId="33" fillId="0" borderId="0" applyNumberFormat="0" applyFill="0" applyBorder="0" applyAlignment="0" applyProtection="0"/>
    <xf numFmtId="0" fontId="30" fillId="0" borderId="0"/>
    <xf numFmtId="0" fontId="16" fillId="0" borderId="0"/>
    <xf numFmtId="9" fontId="16" fillId="0" borderId="0" applyFont="0" applyFill="0" applyBorder="0" applyAlignment="0" applyProtection="0"/>
    <xf numFmtId="9" fontId="19" fillId="0" borderId="0" applyFont="0" applyFill="0" applyBorder="0" applyAlignment="0" applyProtection="0"/>
    <xf numFmtId="0" fontId="19" fillId="0" borderId="0"/>
    <xf numFmtId="0" fontId="15" fillId="0" borderId="0"/>
    <xf numFmtId="44" fontId="19" fillId="0" borderId="0" applyFont="0" applyFill="0" applyBorder="0" applyAlignment="0" applyProtection="0"/>
    <xf numFmtId="165" fontId="16" fillId="0" borderId="0" applyFont="0" applyFill="0" applyBorder="0" applyAlignment="0" applyProtection="0"/>
  </cellStyleXfs>
  <cellXfs count="520">
    <xf numFmtId="0" fontId="0" fillId="0" borderId="0" xfId="0"/>
    <xf numFmtId="49" fontId="7" fillId="4" borderId="0" xfId="0" applyNumberFormat="1" applyFont="1" applyFill="1"/>
    <xf numFmtId="167" fontId="6" fillId="4" borderId="0" xfId="0" applyNumberFormat="1" applyFont="1" applyFill="1"/>
    <xf numFmtId="0" fontId="8" fillId="4" borderId="0" xfId="0" applyFont="1" applyFill="1" applyAlignment="1">
      <alignment vertical="center"/>
    </xf>
    <xf numFmtId="0" fontId="0" fillId="4" borderId="0" xfId="0" applyFill="1"/>
    <xf numFmtId="42" fontId="0" fillId="4" borderId="0" xfId="0" applyNumberFormat="1" applyFill="1" applyAlignment="1">
      <alignment horizontal="center"/>
    </xf>
    <xf numFmtId="0" fontId="3" fillId="4" borderId="0" xfId="0" applyFont="1" applyFill="1"/>
    <xf numFmtId="0" fontId="5" fillId="4" borderId="0" xfId="0" applyFont="1" applyFill="1"/>
    <xf numFmtId="49" fontId="5" fillId="4" borderId="0" xfId="0" applyNumberFormat="1" applyFont="1" applyFill="1" applyAlignment="1">
      <alignment horizontal="left"/>
    </xf>
    <xf numFmtId="0" fontId="0" fillId="4" borderId="0" xfId="0" applyFill="1" applyAlignment="1">
      <alignment horizontal="center" vertical="center"/>
    </xf>
    <xf numFmtId="0" fontId="7" fillId="4" borderId="0" xfId="0" applyFont="1" applyFill="1"/>
    <xf numFmtId="0" fontId="9" fillId="4" borderId="0" xfId="0" applyFont="1" applyFill="1" applyAlignment="1">
      <alignment vertical="center"/>
    </xf>
    <xf numFmtId="0" fontId="3" fillId="4" borderId="0" xfId="0" applyFont="1" applyFill="1" applyAlignment="1">
      <alignment vertical="center"/>
    </xf>
    <xf numFmtId="0" fontId="34" fillId="4" borderId="0" xfId="20" applyFont="1" applyFill="1"/>
    <xf numFmtId="0" fontId="35" fillId="4" borderId="0" xfId="20" applyFont="1" applyFill="1"/>
    <xf numFmtId="0" fontId="16" fillId="4" borderId="0" xfId="20" applyFill="1"/>
    <xf numFmtId="0" fontId="17" fillId="4" borderId="0" xfId="20" applyFont="1" applyFill="1"/>
    <xf numFmtId="0" fontId="37" fillId="4" borderId="0" xfId="31" applyFont="1" applyFill="1"/>
    <xf numFmtId="0" fontId="38" fillId="10" borderId="15" xfId="4" applyFont="1" applyFill="1" applyBorder="1" applyAlignment="1">
      <alignment horizontal="center" vertical="center" wrapText="1"/>
    </xf>
    <xf numFmtId="0" fontId="16" fillId="4" borderId="0" xfId="20" applyFill="1" applyAlignment="1">
      <alignment horizontal="center"/>
    </xf>
    <xf numFmtId="169" fontId="16" fillId="4" borderId="0" xfId="20" applyNumberFormat="1" applyFill="1" applyAlignment="1">
      <alignment horizontal="center"/>
    </xf>
    <xf numFmtId="0" fontId="16" fillId="4" borderId="0" xfId="26" applyFont="1" applyFill="1"/>
    <xf numFmtId="0" fontId="16" fillId="4" borderId="0" xfId="26" applyFont="1" applyFill="1" applyAlignment="1">
      <alignment horizontal="center"/>
    </xf>
    <xf numFmtId="169" fontId="16" fillId="4" borderId="0" xfId="26" applyNumberFormat="1" applyFont="1" applyFill="1" applyAlignment="1">
      <alignment horizontal="center"/>
    </xf>
    <xf numFmtId="8" fontId="16" fillId="4" borderId="0" xfId="26" applyNumberFormat="1" applyFont="1" applyFill="1" applyAlignment="1">
      <alignment horizontal="center"/>
    </xf>
    <xf numFmtId="165" fontId="16" fillId="4" borderId="0" xfId="26" applyNumberFormat="1" applyFont="1" applyFill="1" applyAlignment="1">
      <alignment horizontal="center"/>
    </xf>
    <xf numFmtId="165" fontId="39" fillId="4" borderId="0" xfId="27" applyFont="1" applyFill="1" applyBorder="1" applyAlignment="1">
      <alignment horizontal="center"/>
    </xf>
    <xf numFmtId="0" fontId="40" fillId="4" borderId="0" xfId="25" applyFont="1" applyFill="1" applyBorder="1" applyAlignment="1">
      <alignment horizontal="center"/>
    </xf>
    <xf numFmtId="0" fontId="41" fillId="4" borderId="0" xfId="0" applyFont="1" applyFill="1" applyAlignment="1">
      <alignment vertical="center"/>
    </xf>
    <xf numFmtId="42" fontId="12" fillId="2" borderId="20" xfId="0" applyNumberFormat="1" applyFont="1" applyFill="1" applyBorder="1" applyAlignment="1">
      <alignment horizontal="center" vertical="center"/>
    </xf>
    <xf numFmtId="42" fontId="0" fillId="4" borderId="0" xfId="0" applyNumberFormat="1" applyFill="1" applyAlignment="1">
      <alignment horizontal="left" vertical="center"/>
    </xf>
    <xf numFmtId="44" fontId="16" fillId="4" borderId="0" xfId="26" applyNumberFormat="1" applyFont="1" applyFill="1" applyAlignment="1">
      <alignment horizontal="center"/>
    </xf>
    <xf numFmtId="44" fontId="16" fillId="4" borderId="0" xfId="24" applyFont="1" applyFill="1" applyAlignment="1">
      <alignment horizontal="center"/>
    </xf>
    <xf numFmtId="8" fontId="17" fillId="4" borderId="0" xfId="26" applyNumberFormat="1" applyFont="1" applyFill="1"/>
    <xf numFmtId="170" fontId="17" fillId="4" borderId="0" xfId="26" applyNumberFormat="1" applyFont="1" applyFill="1"/>
    <xf numFmtId="164" fontId="32" fillId="4" borderId="0" xfId="0" applyNumberFormat="1" applyFont="1" applyFill="1"/>
    <xf numFmtId="0" fontId="32" fillId="4" borderId="0" xfId="0" applyFont="1" applyFill="1"/>
    <xf numFmtId="8" fontId="16" fillId="4" borderId="0" xfId="20" applyNumberFormat="1" applyFill="1"/>
    <xf numFmtId="0" fontId="24" fillId="4" borderId="34" xfId="0" applyFont="1" applyFill="1" applyBorder="1" applyAlignment="1">
      <alignment horizontal="center" vertical="center" wrapText="1"/>
    </xf>
    <xf numFmtId="168" fontId="24" fillId="0" borderId="0" xfId="0" applyNumberFormat="1" applyFont="1" applyAlignment="1">
      <alignment horizontal="center" vertical="center"/>
    </xf>
    <xf numFmtId="0" fontId="0" fillId="7" borderId="1" xfId="0" applyFill="1" applyBorder="1" applyAlignment="1">
      <alignment horizontal="left" vertical="center"/>
    </xf>
    <xf numFmtId="42" fontId="11" fillId="2" borderId="26" xfId="0" applyNumberFormat="1" applyFont="1" applyFill="1" applyBorder="1" applyAlignment="1">
      <alignment vertical="center"/>
    </xf>
    <xf numFmtId="0" fontId="3" fillId="0" borderId="10" xfId="0" applyFont="1" applyBorder="1" applyAlignment="1">
      <alignment horizontal="left" vertical="center" wrapText="1"/>
    </xf>
    <xf numFmtId="0" fontId="49" fillId="0" borderId="11" xfId="0" applyFont="1" applyBorder="1" applyAlignment="1">
      <alignment horizontal="left" vertical="center" wrapText="1"/>
    </xf>
    <xf numFmtId="0" fontId="3" fillId="0" borderId="21" xfId="0" applyFont="1" applyBorder="1" applyAlignment="1">
      <alignment horizontal="left" vertical="center" wrapText="1"/>
    </xf>
    <xf numFmtId="0" fontId="49" fillId="0" borderId="12" xfId="0" applyFont="1" applyBorder="1" applyAlignment="1">
      <alignment horizontal="left" vertical="center" wrapText="1"/>
    </xf>
    <xf numFmtId="0" fontId="3" fillId="0" borderId="11" xfId="0" applyFont="1" applyBorder="1" applyAlignment="1">
      <alignment horizontal="left" vertical="center" wrapText="1"/>
    </xf>
    <xf numFmtId="0" fontId="3" fillId="3" borderId="1" xfId="0" applyFont="1" applyFill="1" applyBorder="1" applyAlignment="1">
      <alignment horizontal="left" vertical="center"/>
    </xf>
    <xf numFmtId="42" fontId="3" fillId="3" borderId="2" xfId="0" applyNumberFormat="1" applyFont="1" applyFill="1" applyBorder="1" applyAlignment="1">
      <alignment horizontal="center" vertical="center"/>
    </xf>
    <xf numFmtId="1" fontId="4" fillId="4" borderId="0" xfId="0" applyNumberFormat="1" applyFont="1" applyFill="1" applyAlignment="1">
      <alignment horizontal="center"/>
    </xf>
    <xf numFmtId="167" fontId="0" fillId="0" borderId="14" xfId="0" applyNumberFormat="1" applyBorder="1" applyAlignment="1">
      <alignment horizontal="left" vertical="center"/>
    </xf>
    <xf numFmtId="167" fontId="0" fillId="0" borderId="9" xfId="0" applyNumberFormat="1" applyBorder="1" applyAlignment="1">
      <alignment horizontal="left" vertical="center"/>
    </xf>
    <xf numFmtId="167" fontId="44" fillId="0" borderId="18" xfId="0" applyNumberFormat="1" applyFont="1" applyBorder="1" applyAlignment="1">
      <alignment horizontal="left" vertical="center"/>
    </xf>
    <xf numFmtId="44" fontId="0" fillId="4" borderId="0" xfId="0" applyNumberFormat="1" applyFill="1" applyAlignment="1">
      <alignment horizontal="left" vertical="center"/>
    </xf>
    <xf numFmtId="0" fontId="3" fillId="4" borderId="0" xfId="0" applyFont="1" applyFill="1" applyAlignment="1">
      <alignment horizontal="left" vertical="center" wrapText="1"/>
    </xf>
    <xf numFmtId="0" fontId="46" fillId="4" borderId="0" xfId="0" applyFont="1" applyFill="1" applyAlignment="1">
      <alignment horizontal="left" vertical="center"/>
    </xf>
    <xf numFmtId="0" fontId="0" fillId="4" borderId="0" xfId="0" applyFill="1" applyAlignment="1">
      <alignment horizontal="left" vertical="center"/>
    </xf>
    <xf numFmtId="167" fontId="0" fillId="4" borderId="0" xfId="0" applyNumberFormat="1" applyFill="1" applyAlignment="1">
      <alignment horizontal="left" vertical="center"/>
    </xf>
    <xf numFmtId="0" fontId="52" fillId="4" borderId="0" xfId="0" applyFont="1" applyFill="1" applyAlignment="1">
      <alignment horizontal="left" wrapText="1"/>
    </xf>
    <xf numFmtId="0" fontId="53" fillId="4" borderId="15" xfId="26" applyFont="1" applyFill="1" applyBorder="1"/>
    <xf numFmtId="0" fontId="54" fillId="4" borderId="15" xfId="26" applyFont="1" applyFill="1" applyBorder="1"/>
    <xf numFmtId="0" fontId="54" fillId="4" borderId="15" xfId="26" applyFont="1" applyFill="1" applyBorder="1" applyAlignment="1">
      <alignment horizontal="left" indent="1"/>
    </xf>
    <xf numFmtId="44" fontId="0" fillId="4" borderId="21" xfId="0" applyNumberFormat="1" applyFill="1" applyBorder="1" applyAlignment="1">
      <alignment vertical="center"/>
    </xf>
    <xf numFmtId="42" fontId="12" fillId="2" borderId="37" xfId="0" applyNumberFormat="1" applyFont="1" applyFill="1" applyBorder="1" applyAlignment="1">
      <alignment horizontal="center" vertical="center"/>
    </xf>
    <xf numFmtId="0" fontId="42" fillId="2" borderId="28" xfId="0" applyFont="1" applyFill="1" applyBorder="1" applyAlignment="1">
      <alignment vertical="center" wrapText="1"/>
    </xf>
    <xf numFmtId="42" fontId="10" fillId="4" borderId="0" xfId="0" applyNumberFormat="1" applyFont="1" applyFill="1" applyAlignment="1">
      <alignment vertical="center"/>
    </xf>
    <xf numFmtId="167" fontId="0" fillId="4" borderId="0" xfId="0" quotePrefix="1" applyNumberFormat="1" applyFill="1" applyAlignment="1">
      <alignment horizontal="right" vertical="center"/>
    </xf>
    <xf numFmtId="42" fontId="0" fillId="4" borderId="0" xfId="0" applyNumberFormat="1" applyFill="1" applyAlignment="1">
      <alignment horizontal="right" vertical="center"/>
    </xf>
    <xf numFmtId="10" fontId="45" fillId="4" borderId="0" xfId="0" applyNumberFormat="1" applyFont="1" applyFill="1" applyAlignment="1">
      <alignment horizontal="center" vertical="center"/>
    </xf>
    <xf numFmtId="0" fontId="0" fillId="4" borderId="14" xfId="0" applyFill="1" applyBorder="1" applyAlignment="1">
      <alignment horizontal="left" vertical="center"/>
    </xf>
    <xf numFmtId="0" fontId="0" fillId="7" borderId="1" xfId="0" applyFill="1" applyBorder="1" applyAlignment="1">
      <alignment horizontal="left" vertical="center" indent="2"/>
    </xf>
    <xf numFmtId="3" fontId="0" fillId="0" borderId="21" xfId="0" applyNumberFormat="1" applyBorder="1" applyAlignment="1">
      <alignment horizontal="center" vertical="center"/>
    </xf>
    <xf numFmtId="3" fontId="24" fillId="0" borderId="21" xfId="0" applyNumberFormat="1" applyFont="1" applyBorder="1" applyAlignment="1">
      <alignment horizontal="center" vertical="center"/>
    </xf>
    <xf numFmtId="168" fontId="24" fillId="0" borderId="33" xfId="0" applyNumberFormat="1" applyFont="1" applyBorder="1" applyAlignment="1">
      <alignment horizontal="center" vertical="center"/>
    </xf>
    <xf numFmtId="167" fontId="16" fillId="4" borderId="15" xfId="26" applyNumberFormat="1" applyFont="1" applyFill="1" applyBorder="1"/>
    <xf numFmtId="0" fontId="16" fillId="4" borderId="15" xfId="26" applyFont="1" applyFill="1" applyBorder="1"/>
    <xf numFmtId="167" fontId="16" fillId="4" borderId="15" xfId="27" applyNumberFormat="1" applyFont="1" applyFill="1" applyBorder="1"/>
    <xf numFmtId="172" fontId="53" fillId="4" borderId="15" xfId="26" applyNumberFormat="1" applyFont="1" applyFill="1" applyBorder="1"/>
    <xf numFmtId="171" fontId="0" fillId="0" borderId="7" xfId="0" applyNumberFormat="1" applyBorder="1" applyAlignment="1">
      <alignment horizontal="center" vertical="center"/>
    </xf>
    <xf numFmtId="168" fontId="0" fillId="4" borderId="0" xfId="0" applyNumberFormat="1" applyFill="1" applyAlignment="1">
      <alignment horizontal="center" vertical="center"/>
    </xf>
    <xf numFmtId="171" fontId="3" fillId="3" borderId="21" xfId="0" applyNumberFormat="1" applyFont="1" applyFill="1" applyBorder="1" applyAlignment="1">
      <alignment horizontal="center" vertical="center"/>
    </xf>
    <xf numFmtId="0" fontId="3" fillId="14" borderId="5" xfId="0" applyFont="1" applyFill="1" applyBorder="1" applyAlignment="1">
      <alignment horizontal="center" vertical="center" wrapText="1"/>
    </xf>
    <xf numFmtId="0" fontId="3" fillId="14" borderId="12" xfId="0" applyFont="1" applyFill="1" applyBorder="1" applyAlignment="1">
      <alignment horizontal="center" vertical="center" wrapText="1"/>
    </xf>
    <xf numFmtId="0" fontId="57" fillId="14" borderId="10" xfId="0" applyFont="1" applyFill="1" applyBorder="1" applyAlignment="1">
      <alignment horizontal="center"/>
    </xf>
    <xf numFmtId="0" fontId="16" fillId="4" borderId="0" xfId="33" applyFill="1" applyAlignment="1">
      <alignment horizontal="left" indent="1"/>
    </xf>
    <xf numFmtId="171" fontId="24" fillId="0" borderId="30" xfId="0" applyNumberFormat="1" applyFont="1" applyBorder="1" applyAlignment="1">
      <alignment horizontal="center" vertical="center"/>
    </xf>
    <xf numFmtId="171" fontId="24" fillId="0" borderId="32" xfId="0" applyNumberFormat="1" applyFont="1" applyBorder="1" applyAlignment="1">
      <alignment horizontal="center" vertical="center"/>
    </xf>
    <xf numFmtId="171" fontId="24" fillId="0" borderId="29" xfId="0" applyNumberFormat="1" applyFont="1" applyBorder="1" applyAlignment="1">
      <alignment horizontal="center" vertical="center"/>
    </xf>
    <xf numFmtId="171" fontId="24" fillId="0" borderId="4" xfId="0" applyNumberFormat="1" applyFont="1" applyBorder="1" applyAlignment="1">
      <alignment horizontal="center" vertical="center"/>
    </xf>
    <xf numFmtId="171" fontId="24" fillId="0" borderId="36" xfId="0" applyNumberFormat="1" applyFont="1" applyBorder="1" applyAlignment="1">
      <alignment horizontal="center" vertical="center"/>
    </xf>
    <xf numFmtId="171" fontId="24" fillId="0" borderId="35" xfId="0" applyNumberFormat="1" applyFont="1" applyBorder="1" applyAlignment="1">
      <alignment horizontal="center" vertical="center"/>
    </xf>
    <xf numFmtId="171" fontId="24" fillId="0" borderId="34" xfId="0" applyNumberFormat="1" applyFont="1" applyBorder="1" applyAlignment="1">
      <alignment horizontal="center" vertical="center"/>
    </xf>
    <xf numFmtId="171" fontId="24" fillId="0" borderId="33" xfId="0" applyNumberFormat="1" applyFont="1" applyBorder="1" applyAlignment="1">
      <alignment horizontal="center" vertical="center"/>
    </xf>
    <xf numFmtId="171" fontId="0" fillId="0" borderId="21" xfId="0" applyNumberFormat="1" applyBorder="1" applyAlignment="1">
      <alignment horizontal="center" vertical="center"/>
    </xf>
    <xf numFmtId="171" fontId="3" fillId="3" borderId="1" xfId="0" applyNumberFormat="1" applyFont="1" applyFill="1" applyBorder="1" applyAlignment="1">
      <alignment horizontal="center" vertical="center"/>
    </xf>
    <xf numFmtId="42" fontId="11" fillId="2" borderId="19" xfId="0" applyNumberFormat="1" applyFont="1" applyFill="1" applyBorder="1" applyAlignment="1">
      <alignment vertical="center"/>
    </xf>
    <xf numFmtId="42" fontId="11" fillId="2" borderId="21" xfId="0" applyNumberFormat="1" applyFont="1" applyFill="1" applyBorder="1" applyAlignment="1">
      <alignment vertical="center"/>
    </xf>
    <xf numFmtId="42" fontId="11" fillId="2" borderId="14" xfId="0" applyNumberFormat="1" applyFont="1" applyFill="1" applyBorder="1" applyAlignment="1">
      <alignment vertical="center"/>
    </xf>
    <xf numFmtId="0" fontId="3" fillId="3" borderId="14" xfId="0" applyFont="1" applyFill="1" applyBorder="1" applyAlignment="1">
      <alignment horizontal="center" vertical="center"/>
    </xf>
    <xf numFmtId="42" fontId="3" fillId="3" borderId="14" xfId="0" applyNumberFormat="1" applyFont="1" applyFill="1" applyBorder="1" applyAlignment="1">
      <alignment horizontal="center" vertical="center"/>
    </xf>
    <xf numFmtId="167" fontId="0" fillId="0" borderId="0" xfId="0" applyNumberFormat="1" applyAlignment="1">
      <alignment horizontal="left" vertical="center"/>
    </xf>
    <xf numFmtId="167" fontId="44" fillId="0" borderId="0" xfId="0" applyNumberFormat="1" applyFont="1" applyAlignment="1">
      <alignment horizontal="left" vertical="center"/>
    </xf>
    <xf numFmtId="0" fontId="1" fillId="2" borderId="5" xfId="0" applyFont="1" applyFill="1" applyBorder="1" applyAlignment="1">
      <alignment vertical="center"/>
    </xf>
    <xf numFmtId="0" fontId="14" fillId="2" borderId="18" xfId="0" applyFont="1" applyFill="1" applyBorder="1" applyAlignment="1">
      <alignment vertical="center"/>
    </xf>
    <xf numFmtId="42" fontId="1" fillId="2" borderId="6" xfId="0" applyNumberFormat="1" applyFont="1" applyFill="1" applyBorder="1" applyAlignment="1">
      <alignment horizontal="right" vertical="center"/>
    </xf>
    <xf numFmtId="42" fontId="31" fillId="2" borderId="5" xfId="0" applyNumberFormat="1" applyFont="1" applyFill="1" applyBorder="1" applyAlignment="1">
      <alignment horizontal="left" vertical="center"/>
    </xf>
    <xf numFmtId="42" fontId="31" fillId="2" borderId="64" xfId="0" applyNumberFormat="1" applyFont="1" applyFill="1" applyBorder="1" applyAlignment="1">
      <alignment horizontal="left" vertical="center"/>
    </xf>
    <xf numFmtId="167" fontId="5" fillId="11" borderId="12" xfId="0" applyNumberFormat="1" applyFont="1" applyFill="1" applyBorder="1" applyAlignment="1">
      <alignment horizontal="left" vertical="center"/>
    </xf>
    <xf numFmtId="42" fontId="3" fillId="2" borderId="5" xfId="0" applyNumberFormat="1" applyFont="1" applyFill="1" applyBorder="1" applyAlignment="1">
      <alignment horizontal="left" vertical="center"/>
    </xf>
    <xf numFmtId="42" fontId="3" fillId="4" borderId="65" xfId="0" applyNumberFormat="1" applyFont="1" applyFill="1" applyBorder="1" applyAlignment="1">
      <alignment vertical="center"/>
    </xf>
    <xf numFmtId="42" fontId="3" fillId="4" borderId="58" xfId="0" applyNumberFormat="1" applyFont="1" applyFill="1" applyBorder="1" applyAlignment="1">
      <alignment horizontal="center" vertical="center" wrapText="1"/>
    </xf>
    <xf numFmtId="42" fontId="3" fillId="4" borderId="58" xfId="0" applyNumberFormat="1" applyFont="1" applyFill="1" applyBorder="1" applyAlignment="1">
      <alignment horizontal="center" vertical="center"/>
    </xf>
    <xf numFmtId="0" fontId="48" fillId="4" borderId="58" xfId="0" applyFont="1" applyFill="1" applyBorder="1" applyAlignment="1">
      <alignment horizontal="center" vertical="center" wrapText="1"/>
    </xf>
    <xf numFmtId="42" fontId="48" fillId="11" borderId="58" xfId="0" applyNumberFormat="1" applyFont="1" applyFill="1" applyBorder="1" applyAlignment="1">
      <alignment horizontal="center" vertical="center" wrapText="1"/>
    </xf>
    <xf numFmtId="0" fontId="56" fillId="4" borderId="67" xfId="0" applyFont="1" applyFill="1" applyBorder="1" applyAlignment="1">
      <alignment horizontal="center" vertical="center" wrapText="1"/>
    </xf>
    <xf numFmtId="0" fontId="42" fillId="2" borderId="68" xfId="0" applyFont="1" applyFill="1" applyBorder="1" applyAlignment="1">
      <alignment vertical="center"/>
    </xf>
    <xf numFmtId="42" fontId="11" fillId="2" borderId="69" xfId="0" applyNumberFormat="1" applyFont="1" applyFill="1" applyBorder="1" applyAlignment="1">
      <alignment vertical="center"/>
    </xf>
    <xf numFmtId="167" fontId="16" fillId="4" borderId="0" xfId="27" applyNumberFormat="1" applyFont="1" applyFill="1" applyBorder="1"/>
    <xf numFmtId="0" fontId="54" fillId="4" borderId="0" xfId="26" applyFont="1" applyFill="1"/>
    <xf numFmtId="0" fontId="57" fillId="8" borderId="10" xfId="0" applyFont="1" applyFill="1" applyBorder="1" applyAlignment="1">
      <alignment horizontal="center"/>
    </xf>
    <xf numFmtId="42" fontId="5" fillId="11" borderId="102" xfId="0" applyNumberFormat="1" applyFont="1" applyFill="1" applyBorder="1" applyAlignment="1">
      <alignment horizontal="left" vertical="center"/>
    </xf>
    <xf numFmtId="42" fontId="3" fillId="2" borderId="102" xfId="0" applyNumberFormat="1" applyFont="1" applyFill="1" applyBorder="1" applyAlignment="1">
      <alignment horizontal="left" vertical="center"/>
    </xf>
    <xf numFmtId="42" fontId="11" fillId="2" borderId="104" xfId="0" applyNumberFormat="1" applyFont="1" applyFill="1" applyBorder="1" applyAlignment="1">
      <alignment vertical="center"/>
    </xf>
    <xf numFmtId="0" fontId="58" fillId="14" borderId="7" xfId="0" applyFont="1" applyFill="1" applyBorder="1" applyAlignment="1">
      <alignment horizontal="center" vertical="center" wrapText="1"/>
    </xf>
    <xf numFmtId="0" fontId="56" fillId="4" borderId="110" xfId="0" applyFont="1" applyFill="1" applyBorder="1" applyAlignment="1">
      <alignment horizontal="center" vertical="center" wrapText="1"/>
    </xf>
    <xf numFmtId="42" fontId="11" fillId="2" borderId="111" xfId="0" applyNumberFormat="1" applyFont="1" applyFill="1" applyBorder="1" applyAlignment="1">
      <alignment vertical="center"/>
    </xf>
    <xf numFmtId="42" fontId="3" fillId="2" borderId="116" xfId="0" applyNumberFormat="1" applyFont="1" applyFill="1" applyBorder="1" applyAlignment="1">
      <alignment horizontal="left" vertical="center"/>
    </xf>
    <xf numFmtId="0" fontId="55" fillId="0" borderId="117" xfId="0" applyFont="1" applyBorder="1" applyAlignment="1">
      <alignment horizontal="center" vertical="center" wrapText="1"/>
    </xf>
    <xf numFmtId="0" fontId="55" fillId="0" borderId="110" xfId="0" applyFont="1" applyBorder="1" applyAlignment="1">
      <alignment horizontal="center" vertical="center" wrapText="1"/>
    </xf>
    <xf numFmtId="42" fontId="11" fillId="2" borderId="118" xfId="0" applyNumberFormat="1" applyFont="1" applyFill="1" applyBorder="1" applyAlignment="1">
      <alignment vertical="center"/>
    </xf>
    <xf numFmtId="42" fontId="5" fillId="11" borderId="116" xfId="0" applyNumberFormat="1" applyFont="1" applyFill="1" applyBorder="1" applyAlignment="1">
      <alignment horizontal="left" vertical="center"/>
    </xf>
    <xf numFmtId="0" fontId="48" fillId="4" borderId="66" xfId="0" applyFont="1" applyFill="1" applyBorder="1" applyAlignment="1">
      <alignment horizontal="center" vertical="center" wrapText="1"/>
    </xf>
    <xf numFmtId="171" fontId="4" fillId="4" borderId="0" xfId="0" applyNumberFormat="1" applyFont="1" applyFill="1"/>
    <xf numFmtId="0" fontId="18" fillId="4" borderId="15" xfId="26" applyFont="1" applyFill="1" applyBorder="1" applyAlignment="1">
      <alignment horizontal="left" indent="1"/>
    </xf>
    <xf numFmtId="44" fontId="16" fillId="4" borderId="123" xfId="26" applyNumberFormat="1" applyFont="1" applyFill="1" applyBorder="1"/>
    <xf numFmtId="44" fontId="16" fillId="4" borderId="123" xfId="20" applyNumberFormat="1" applyFill="1" applyBorder="1"/>
    <xf numFmtId="44" fontId="16" fillId="4" borderId="123" xfId="24" applyFont="1" applyFill="1" applyBorder="1"/>
    <xf numFmtId="0" fontId="0" fillId="4" borderId="0" xfId="0" applyFill="1" applyAlignment="1">
      <alignment horizontal="left" vertical="center" wrapText="1"/>
    </xf>
    <xf numFmtId="0" fontId="0" fillId="4" borderId="11" xfId="0" applyFill="1" applyBorder="1" applyAlignment="1">
      <alignment horizontal="left" vertical="center"/>
    </xf>
    <xf numFmtId="0" fontId="3" fillId="4" borderId="10" xfId="0" applyFont="1" applyFill="1" applyBorder="1" applyAlignment="1">
      <alignment horizontal="left" vertical="center"/>
    </xf>
    <xf numFmtId="0" fontId="55" fillId="4" borderId="3" xfId="0" applyFont="1" applyFill="1" applyBorder="1" applyAlignment="1">
      <alignment horizontal="left" vertical="center"/>
    </xf>
    <xf numFmtId="0" fontId="55" fillId="4" borderId="49" xfId="0" applyFont="1" applyFill="1" applyBorder="1" applyAlignment="1">
      <alignment horizontal="left" vertical="center"/>
    </xf>
    <xf numFmtId="0" fontId="3" fillId="4" borderId="3" xfId="0" applyFont="1" applyFill="1" applyBorder="1" applyAlignment="1">
      <alignment horizontal="left" vertical="center"/>
    </xf>
    <xf numFmtId="0" fontId="55" fillId="4" borderId="11" xfId="0" applyFont="1" applyFill="1" applyBorder="1" applyAlignment="1">
      <alignment horizontal="left" vertical="center"/>
    </xf>
    <xf numFmtId="0" fontId="0" fillId="4" borderId="29" xfId="0" applyFill="1" applyBorder="1" applyAlignment="1">
      <alignment horizontal="left" vertical="center" wrapText="1"/>
    </xf>
    <xf numFmtId="0" fontId="0" fillId="4" borderId="35" xfId="0" applyFill="1" applyBorder="1" applyAlignment="1">
      <alignment horizontal="left" vertical="center" wrapText="1"/>
    </xf>
    <xf numFmtId="0" fontId="0" fillId="4" borderId="34" xfId="0" applyFill="1" applyBorder="1" applyAlignment="1">
      <alignment horizontal="left" vertical="center" wrapText="1"/>
    </xf>
    <xf numFmtId="0" fontId="24" fillId="0" borderId="29" xfId="0" applyFont="1" applyBorder="1" applyAlignment="1">
      <alignment horizontal="left" vertical="center" wrapText="1"/>
    </xf>
    <xf numFmtId="0" fontId="24" fillId="0" borderId="49" xfId="0" applyFont="1" applyBorder="1" applyAlignment="1">
      <alignment horizontal="left" vertical="center" wrapText="1"/>
    </xf>
    <xf numFmtId="0" fontId="5" fillId="0" borderId="49" xfId="0" applyFont="1" applyBorder="1" applyAlignment="1">
      <alignment horizontal="left" vertical="center" wrapText="1"/>
    </xf>
    <xf numFmtId="0" fontId="24" fillId="0" borderId="12" xfId="0" applyFont="1" applyBorder="1" applyAlignment="1">
      <alignment horizontal="left" vertical="center" wrapText="1"/>
    </xf>
    <xf numFmtId="0" fontId="0" fillId="4" borderId="1" xfId="0" applyFill="1" applyBorder="1" applyAlignment="1">
      <alignment horizontal="left" vertical="center"/>
    </xf>
    <xf numFmtId="171" fontId="0" fillId="4" borderId="21" xfId="0" applyNumberFormat="1" applyFill="1" applyBorder="1" applyAlignment="1">
      <alignment horizontal="center" vertical="center"/>
    </xf>
    <xf numFmtId="171" fontId="0" fillId="4" borderId="1" xfId="0" applyNumberFormat="1" applyFill="1" applyBorder="1" applyAlignment="1">
      <alignment horizontal="center" vertical="center"/>
    </xf>
    <xf numFmtId="0" fontId="59" fillId="4" borderId="0" xfId="0" applyFont="1" applyFill="1" applyAlignment="1">
      <alignment wrapText="1"/>
    </xf>
    <xf numFmtId="0" fontId="1" fillId="15" borderId="0" xfId="0" applyFont="1" applyFill="1" applyAlignment="1">
      <alignment horizontal="left" vertical="top" wrapText="1"/>
    </xf>
    <xf numFmtId="0" fontId="3" fillId="0" borderId="0" xfId="0" applyFont="1" applyAlignment="1">
      <alignment horizontal="left" vertical="top" wrapText="1" indent="1"/>
    </xf>
    <xf numFmtId="0" fontId="3" fillId="0" borderId="0" xfId="0" applyFont="1" applyAlignment="1">
      <alignment horizontal="left" vertical="top" wrapText="1"/>
    </xf>
    <xf numFmtId="0" fontId="1" fillId="16" borderId="0" xfId="0" applyFont="1" applyFill="1" applyAlignment="1">
      <alignment horizontal="left" vertical="top" wrapText="1"/>
    </xf>
    <xf numFmtId="173" fontId="65" fillId="4" borderId="0" xfId="26" applyNumberFormat="1" applyFont="1" applyFill="1"/>
    <xf numFmtId="173" fontId="66" fillId="4" borderId="0" xfId="26" applyNumberFormat="1" applyFont="1" applyFill="1"/>
    <xf numFmtId="0" fontId="65" fillId="4" borderId="15" xfId="26" applyFont="1" applyFill="1" applyBorder="1"/>
    <xf numFmtId="0" fontId="66" fillId="4" borderId="15" xfId="26" applyFont="1" applyFill="1" applyBorder="1"/>
    <xf numFmtId="10" fontId="65" fillId="4" borderId="15" xfId="28" applyNumberFormat="1" applyFont="1" applyFill="1" applyBorder="1"/>
    <xf numFmtId="10" fontId="66" fillId="4" borderId="15" xfId="28" applyNumberFormat="1" applyFont="1" applyFill="1" applyBorder="1"/>
    <xf numFmtId="167" fontId="16" fillId="4" borderId="15" xfId="24" applyNumberFormat="1" applyFont="1" applyFill="1" applyBorder="1"/>
    <xf numFmtId="0" fontId="55" fillId="4" borderId="0" xfId="0" applyFont="1" applyFill="1"/>
    <xf numFmtId="0" fontId="0" fillId="4" borderId="0" xfId="0" applyFill="1" applyAlignment="1">
      <alignment wrapText="1"/>
    </xf>
    <xf numFmtId="0" fontId="0" fillId="4" borderId="0" xfId="0" applyFill="1" applyAlignment="1">
      <alignment horizontal="left" wrapText="1" indent="1"/>
    </xf>
    <xf numFmtId="0" fontId="0" fillId="0" borderId="0" xfId="0" applyAlignment="1">
      <alignment horizontal="left" vertical="top" wrapText="1" indent="1"/>
    </xf>
    <xf numFmtId="0" fontId="0" fillId="0" borderId="0" xfId="0" applyAlignment="1">
      <alignment horizontal="left" vertical="top" wrapText="1"/>
    </xf>
    <xf numFmtId="0" fontId="67" fillId="4" borderId="0" xfId="0" applyFont="1" applyFill="1"/>
    <xf numFmtId="0" fontId="60" fillId="4" borderId="124" xfId="0" applyFont="1" applyFill="1" applyBorder="1" applyAlignment="1">
      <alignment horizontal="left" vertical="top" wrapText="1"/>
    </xf>
    <xf numFmtId="0" fontId="36" fillId="4" borderId="0" xfId="20" applyFont="1" applyFill="1" applyAlignment="1">
      <alignment horizontal="right" indent="2"/>
    </xf>
    <xf numFmtId="0" fontId="69" fillId="4" borderId="0" xfId="20" applyFont="1" applyFill="1" applyAlignment="1">
      <alignment horizontal="right" indent="2"/>
    </xf>
    <xf numFmtId="42" fontId="70" fillId="4" borderId="59" xfId="0" applyNumberFormat="1" applyFont="1" applyFill="1" applyBorder="1" applyAlignment="1">
      <alignment vertical="center"/>
    </xf>
    <xf numFmtId="0" fontId="3" fillId="4" borderId="88" xfId="0" applyFont="1" applyFill="1" applyBorder="1"/>
    <xf numFmtId="0" fontId="1" fillId="4" borderId="88" xfId="0" applyFont="1" applyFill="1" applyBorder="1"/>
    <xf numFmtId="167" fontId="0" fillId="0" borderId="4" xfId="0" applyNumberFormat="1" applyBorder="1" applyAlignment="1">
      <alignment horizontal="left" vertical="center"/>
    </xf>
    <xf numFmtId="167" fontId="50" fillId="0" borderId="0" xfId="0" applyNumberFormat="1" applyFont="1" applyAlignment="1">
      <alignment horizontal="left" vertical="center"/>
    </xf>
    <xf numFmtId="167" fontId="44" fillId="0" borderId="4" xfId="0" applyNumberFormat="1" applyFont="1" applyBorder="1" applyAlignment="1">
      <alignment horizontal="left" vertical="center"/>
    </xf>
    <xf numFmtId="167" fontId="0" fillId="0" borderId="2" xfId="0" applyNumberFormat="1" applyBorder="1" applyAlignment="1">
      <alignment horizontal="left" vertical="center"/>
    </xf>
    <xf numFmtId="167" fontId="0" fillId="0" borderId="8" xfId="0" applyNumberFormat="1" applyBorder="1" applyAlignment="1">
      <alignment horizontal="left" vertical="center"/>
    </xf>
    <xf numFmtId="167" fontId="50" fillId="0" borderId="18" xfId="0" applyNumberFormat="1" applyFont="1" applyBorder="1" applyAlignment="1">
      <alignment horizontal="left" vertical="center"/>
    </xf>
    <xf numFmtId="167" fontId="44" fillId="0" borderId="6" xfId="0" applyNumberFormat="1" applyFont="1" applyBorder="1" applyAlignment="1">
      <alignment horizontal="left" vertical="center"/>
    </xf>
    <xf numFmtId="167" fontId="71" fillId="3" borderId="44" xfId="24" applyNumberFormat="1" applyFont="1" applyFill="1" applyBorder="1" applyAlignment="1">
      <alignment horizontal="center" vertical="center" wrapText="1"/>
    </xf>
    <xf numFmtId="167" fontId="55" fillId="4" borderId="0" xfId="24" applyNumberFormat="1" applyFont="1" applyFill="1"/>
    <xf numFmtId="0" fontId="55" fillId="4" borderId="0" xfId="0" applyFont="1" applyFill="1" applyAlignment="1">
      <alignment horizontal="center" vertical="center"/>
    </xf>
    <xf numFmtId="0" fontId="72" fillId="4" borderId="0" xfId="0" applyFont="1" applyFill="1"/>
    <xf numFmtId="0" fontId="73" fillId="4" borderId="0" xfId="11" applyFont="1" applyFill="1"/>
    <xf numFmtId="167" fontId="73" fillId="4" borderId="0" xfId="24" applyNumberFormat="1" applyFont="1" applyFill="1" applyBorder="1"/>
    <xf numFmtId="0" fontId="73" fillId="4" borderId="0" xfId="0" applyFont="1" applyFill="1" applyAlignment="1">
      <alignment horizontal="center" vertical="center"/>
    </xf>
    <xf numFmtId="0" fontId="71" fillId="3" borderId="44" xfId="3" applyFont="1" applyFill="1" applyBorder="1" applyAlignment="1">
      <alignment horizontal="left" vertical="center" wrapText="1"/>
    </xf>
    <xf numFmtId="0" fontId="71" fillId="3" borderId="44" xfId="3" applyFont="1" applyFill="1" applyBorder="1" applyAlignment="1">
      <alignment horizontal="center" vertical="center" wrapText="1"/>
    </xf>
    <xf numFmtId="0" fontId="55" fillId="4" borderId="22" xfId="0" applyFont="1" applyFill="1" applyBorder="1"/>
    <xf numFmtId="0" fontId="23" fillId="4" borderId="0" xfId="0" applyFont="1" applyFill="1"/>
    <xf numFmtId="0" fontId="55" fillId="0" borderId="0" xfId="0" applyFont="1" applyAlignment="1">
      <alignment horizontal="center"/>
    </xf>
    <xf numFmtId="0" fontId="73" fillId="4" borderId="0" xfId="0" applyFont="1" applyFill="1" applyAlignment="1">
      <alignment horizontal="left" vertical="center"/>
    </xf>
    <xf numFmtId="0" fontId="71" fillId="3" borderId="44" xfId="3" applyFont="1" applyFill="1" applyBorder="1" applyAlignment="1">
      <alignment horizontal="center" vertical="center"/>
    </xf>
    <xf numFmtId="0" fontId="72" fillId="4" borderId="0" xfId="0" applyFont="1" applyFill="1" applyAlignment="1">
      <alignment vertical="center"/>
    </xf>
    <xf numFmtId="0" fontId="72" fillId="3" borderId="46" xfId="0" applyFont="1" applyFill="1" applyBorder="1" applyAlignment="1">
      <alignment horizontal="center" vertical="center"/>
    </xf>
    <xf numFmtId="0" fontId="72" fillId="3" borderId="13" xfId="0" applyFont="1" applyFill="1" applyBorder="1" applyAlignment="1">
      <alignment horizontal="center" vertical="center"/>
    </xf>
    <xf numFmtId="0" fontId="47" fillId="0" borderId="57" xfId="0" applyFont="1" applyBorder="1" applyAlignment="1">
      <alignment horizontal="center" vertical="center"/>
    </xf>
    <xf numFmtId="0" fontId="55" fillId="4" borderId="37" xfId="0" applyFont="1" applyFill="1" applyBorder="1" applyAlignment="1">
      <alignment horizontal="center" vertical="center"/>
    </xf>
    <xf numFmtId="0" fontId="47" fillId="0" borderId="41" xfId="0" applyFont="1" applyBorder="1" applyAlignment="1">
      <alignment horizontal="center" vertical="center"/>
    </xf>
    <xf numFmtId="0" fontId="55" fillId="4" borderId="38" xfId="0" applyFont="1" applyFill="1" applyBorder="1" applyAlignment="1">
      <alignment horizontal="center" vertical="center"/>
    </xf>
    <xf numFmtId="0" fontId="77" fillId="4" borderId="0" xfId="0" applyFont="1" applyFill="1" applyAlignment="1">
      <alignment vertical="center"/>
    </xf>
    <xf numFmtId="0" fontId="47" fillId="0" borderId="39" xfId="0" applyFont="1" applyBorder="1" applyAlignment="1">
      <alignment horizontal="center" vertical="center"/>
    </xf>
    <xf numFmtId="0" fontId="47" fillId="0" borderId="43" xfId="0" applyFont="1" applyBorder="1" applyAlignment="1">
      <alignment horizontal="center" vertical="center"/>
    </xf>
    <xf numFmtId="0" fontId="47" fillId="0" borderId="15" xfId="0" applyFont="1" applyBorder="1" applyAlignment="1">
      <alignment horizontal="center" vertical="center"/>
    </xf>
    <xf numFmtId="0" fontId="72" fillId="4" borderId="0" xfId="0" applyFont="1" applyFill="1" applyAlignment="1">
      <alignment horizontal="center" vertical="center"/>
    </xf>
    <xf numFmtId="0" fontId="47" fillId="0" borderId="42" xfId="0" applyFont="1" applyBorder="1" applyAlignment="1">
      <alignment horizontal="center" vertical="center"/>
    </xf>
    <xf numFmtId="0" fontId="55" fillId="4" borderId="40" xfId="0" applyFont="1" applyFill="1" applyBorder="1" applyAlignment="1">
      <alignment horizontal="center" vertical="center"/>
    </xf>
    <xf numFmtId="0" fontId="74" fillId="4" borderId="0" xfId="0" applyFont="1" applyFill="1" applyAlignment="1">
      <alignment horizontal="center"/>
    </xf>
    <xf numFmtId="0" fontId="55" fillId="4" borderId="0" xfId="0" applyFont="1" applyFill="1" applyAlignment="1">
      <alignment horizontal="center"/>
    </xf>
    <xf numFmtId="0" fontId="47" fillId="4" borderId="0" xfId="0" applyFont="1" applyFill="1" applyAlignment="1">
      <alignment horizontal="left"/>
    </xf>
    <xf numFmtId="0" fontId="74" fillId="4" borderId="0" xfId="0" applyFont="1" applyFill="1"/>
    <xf numFmtId="0" fontId="74" fillId="4" borderId="0" xfId="0" quotePrefix="1" applyFont="1" applyFill="1"/>
    <xf numFmtId="0" fontId="76" fillId="4" borderId="0" xfId="0" applyFont="1" applyFill="1"/>
    <xf numFmtId="0" fontId="73" fillId="4" borderId="0" xfId="0" applyFont="1" applyFill="1" applyAlignment="1">
      <alignment vertical="center"/>
    </xf>
    <xf numFmtId="0" fontId="78" fillId="3" borderId="44" xfId="3" applyFont="1" applyFill="1" applyBorder="1" applyAlignment="1">
      <alignment horizontal="center" vertical="center" wrapText="1"/>
    </xf>
    <xf numFmtId="0" fontId="75" fillId="3" borderId="45" xfId="2" applyFont="1" applyFill="1" applyBorder="1" applyAlignment="1">
      <alignment horizontal="center" vertical="center" wrapText="1"/>
    </xf>
    <xf numFmtId="0" fontId="47" fillId="0" borderId="19" xfId="13" applyFont="1" applyBorder="1"/>
    <xf numFmtId="0" fontId="47" fillId="0" borderId="56" xfId="13" applyFont="1" applyBorder="1"/>
    <xf numFmtId="0" fontId="47" fillId="0" borderId="23" xfId="13" applyFont="1" applyBorder="1"/>
    <xf numFmtId="0" fontId="47" fillId="0" borderId="15" xfId="13" applyFont="1" applyBorder="1"/>
    <xf numFmtId="3" fontId="47" fillId="0" borderId="15" xfId="1" applyNumberFormat="1" applyFont="1" applyBorder="1" applyAlignment="1">
      <alignment horizontal="center" vertical="center"/>
    </xf>
    <xf numFmtId="0" fontId="47" fillId="0" borderId="39" xfId="13" applyFont="1" applyBorder="1"/>
    <xf numFmtId="0" fontId="47" fillId="0" borderId="15" xfId="13" quotePrefix="1" applyFont="1" applyBorder="1"/>
    <xf numFmtId="0" fontId="47" fillId="0" borderId="16" xfId="13" applyFont="1" applyBorder="1"/>
    <xf numFmtId="0" fontId="47" fillId="0" borderId="17" xfId="13" quotePrefix="1" applyFont="1" applyBorder="1"/>
    <xf numFmtId="3" fontId="47" fillId="0" borderId="17" xfId="1" applyNumberFormat="1" applyFont="1" applyBorder="1" applyAlignment="1">
      <alignment horizontal="center" vertical="center"/>
    </xf>
    <xf numFmtId="0" fontId="74" fillId="4" borderId="0" xfId="13" quotePrefix="1" applyFont="1" applyFill="1"/>
    <xf numFmtId="3" fontId="74" fillId="4" borderId="0" xfId="1" applyNumberFormat="1" applyFont="1" applyFill="1" applyAlignment="1">
      <alignment horizontal="center"/>
    </xf>
    <xf numFmtId="0" fontId="73" fillId="0" borderId="26" xfId="13" applyFont="1" applyBorder="1"/>
    <xf numFmtId="0" fontId="75" fillId="4" borderId="25" xfId="13" applyFont="1" applyFill="1" applyBorder="1" applyAlignment="1">
      <alignment horizontal="center" vertical="center"/>
    </xf>
    <xf numFmtId="0" fontId="73" fillId="0" borderId="31" xfId="13" applyFont="1" applyBorder="1"/>
    <xf numFmtId="0" fontId="73" fillId="4" borderId="40" xfId="13" applyFont="1" applyFill="1" applyBorder="1" applyAlignment="1">
      <alignment horizontal="center" vertical="center"/>
    </xf>
    <xf numFmtId="0" fontId="75" fillId="4" borderId="24" xfId="13" applyFont="1" applyFill="1" applyBorder="1" applyAlignment="1">
      <alignment horizontal="center" vertical="center"/>
    </xf>
    <xf numFmtId="0" fontId="79" fillId="4" borderId="0" xfId="0" applyFont="1" applyFill="1"/>
    <xf numFmtId="0" fontId="80" fillId="4" borderId="0" xfId="0" applyFont="1" applyFill="1" applyAlignment="1">
      <alignment vertical="center"/>
    </xf>
    <xf numFmtId="0" fontId="79" fillId="6" borderId="1" xfId="2" applyFont="1" applyFill="1" applyBorder="1" applyAlignment="1">
      <alignment vertical="center"/>
    </xf>
    <xf numFmtId="0" fontId="79" fillId="6" borderId="14" xfId="2" applyFont="1" applyFill="1" applyBorder="1" applyAlignment="1">
      <alignment vertical="center"/>
    </xf>
    <xf numFmtId="0" fontId="79" fillId="6" borderId="2" xfId="2" applyFont="1" applyFill="1" applyBorder="1" applyAlignment="1">
      <alignment vertical="center"/>
    </xf>
    <xf numFmtId="42" fontId="1" fillId="2" borderId="21" xfId="0" applyNumberFormat="1" applyFont="1" applyFill="1" applyBorder="1" applyAlignment="1">
      <alignment horizontal="right" vertical="center"/>
    </xf>
    <xf numFmtId="0" fontId="81" fillId="3" borderId="21" xfId="13" quotePrefix="1" applyFont="1" applyFill="1" applyBorder="1" applyAlignment="1">
      <alignment horizontal="center" vertical="center"/>
    </xf>
    <xf numFmtId="0" fontId="81" fillId="3" borderId="2" xfId="2" applyFont="1" applyFill="1" applyBorder="1" applyAlignment="1">
      <alignment horizontal="center" vertical="center"/>
    </xf>
    <xf numFmtId="0" fontId="75" fillId="3" borderId="21" xfId="13" quotePrefix="1" applyFont="1" applyFill="1" applyBorder="1" applyAlignment="1">
      <alignment horizontal="center"/>
    </xf>
    <xf numFmtId="3" fontId="75" fillId="3" borderId="8" xfId="1" applyNumberFormat="1" applyFont="1" applyFill="1" applyBorder="1" applyAlignment="1">
      <alignment horizontal="center"/>
    </xf>
    <xf numFmtId="0" fontId="75" fillId="4" borderId="37" xfId="13" applyFont="1" applyFill="1" applyBorder="1" applyAlignment="1">
      <alignment horizontal="center" vertical="center"/>
    </xf>
    <xf numFmtId="167" fontId="73" fillId="0" borderId="28" xfId="24" applyNumberFormat="1" applyFont="1" applyFill="1" applyBorder="1"/>
    <xf numFmtId="167" fontId="73" fillId="0" borderId="129" xfId="24" applyNumberFormat="1" applyFont="1" applyFill="1" applyBorder="1"/>
    <xf numFmtId="167" fontId="73" fillId="0" borderId="18" xfId="24" applyNumberFormat="1" applyFont="1" applyFill="1" applyBorder="1"/>
    <xf numFmtId="0" fontId="73" fillId="0" borderId="37" xfId="11" applyFont="1" applyBorder="1"/>
    <xf numFmtId="0" fontId="73" fillId="0" borderId="38" xfId="11" applyFont="1" applyBorder="1"/>
    <xf numFmtId="0" fontId="73" fillId="0" borderId="40" xfId="11" applyFont="1" applyBorder="1"/>
    <xf numFmtId="0" fontId="79" fillId="3" borderId="21" xfId="13" quotePrefix="1" applyFont="1" applyFill="1" applyBorder="1" applyAlignment="1">
      <alignment horizontal="left" vertical="center"/>
    </xf>
    <xf numFmtId="0" fontId="80" fillId="17" borderId="0" xfId="0" applyFont="1" applyFill="1" applyAlignment="1">
      <alignment horizontal="left" vertical="center"/>
    </xf>
    <xf numFmtId="171" fontId="80" fillId="17" borderId="0" xfId="0" applyNumberFormat="1" applyFont="1" applyFill="1" applyAlignment="1">
      <alignment horizontal="left" vertical="center"/>
    </xf>
    <xf numFmtId="9" fontId="80" fillId="17" borderId="0" xfId="35" applyFont="1" applyFill="1" applyAlignment="1">
      <alignment horizontal="left" vertical="center"/>
    </xf>
    <xf numFmtId="9" fontId="80" fillId="17" borderId="0" xfId="0" applyNumberFormat="1" applyFont="1" applyFill="1" applyAlignment="1">
      <alignment horizontal="left" vertical="center"/>
    </xf>
    <xf numFmtId="171" fontId="79" fillId="17" borderId="0" xfId="0" applyNumberFormat="1" applyFont="1" applyFill="1" applyAlignment="1">
      <alignment horizontal="left" vertical="center"/>
    </xf>
    <xf numFmtId="171" fontId="79" fillId="17" borderId="0" xfId="0" applyNumberFormat="1" applyFont="1" applyFill="1" applyAlignment="1">
      <alignment horizontal="left" vertical="center" indent="5"/>
    </xf>
    <xf numFmtId="171" fontId="80" fillId="17" borderId="0" xfId="0" applyNumberFormat="1" applyFont="1" applyFill="1" applyAlignment="1">
      <alignment horizontal="left" vertical="center" indent="5"/>
    </xf>
    <xf numFmtId="0" fontId="80" fillId="17" borderId="0" xfId="0" applyFont="1" applyFill="1" applyAlignment="1">
      <alignment horizontal="left" vertical="center" indent="2"/>
    </xf>
    <xf numFmtId="0" fontId="80" fillId="17" borderId="0" xfId="0" applyFont="1" applyFill="1" applyAlignment="1">
      <alignment horizontal="left" vertical="center" indent="3"/>
    </xf>
    <xf numFmtId="0" fontId="80" fillId="17" borderId="0" xfId="0" applyFont="1" applyFill="1" applyAlignment="1">
      <alignment horizontal="left" vertical="center" indent="5"/>
    </xf>
    <xf numFmtId="0" fontId="83" fillId="4" borderId="0" xfId="0" applyFont="1" applyFill="1"/>
    <xf numFmtId="0" fontId="82" fillId="17" borderId="0" xfId="0" applyFont="1" applyFill="1" applyAlignment="1">
      <alignment horizontal="left" vertical="center"/>
    </xf>
    <xf numFmtId="0" fontId="3" fillId="0" borderId="7" xfId="0" applyFont="1" applyBorder="1" applyAlignment="1">
      <alignment vertical="center"/>
    </xf>
    <xf numFmtId="167" fontId="10" fillId="0" borderId="9" xfId="0" applyNumberFormat="1" applyFont="1" applyBorder="1" applyAlignment="1">
      <alignment vertical="center"/>
    </xf>
    <xf numFmtId="167" fontId="3" fillId="0" borderId="9" xfId="0" applyNumberFormat="1" applyFont="1" applyBorder="1" applyAlignment="1">
      <alignment horizontal="left" vertical="center"/>
    </xf>
    <xf numFmtId="167" fontId="3" fillId="0" borderId="9" xfId="0" applyNumberFormat="1" applyFont="1" applyBorder="1" applyAlignment="1">
      <alignment horizontal="right" vertical="center"/>
    </xf>
    <xf numFmtId="42" fontId="3" fillId="0" borderId="9" xfId="0" applyNumberFormat="1" applyFont="1" applyBorder="1" applyAlignment="1">
      <alignment horizontal="right" vertical="center"/>
    </xf>
    <xf numFmtId="42" fontId="3" fillId="0" borderId="8" xfId="0" applyNumberFormat="1" applyFont="1" applyBorder="1" applyAlignment="1">
      <alignment horizontal="right" vertical="center"/>
    </xf>
    <xf numFmtId="0" fontId="0" fillId="0" borderId="3" xfId="0" applyBorder="1" applyAlignment="1">
      <alignment horizontal="left" vertical="center" indent="1"/>
    </xf>
    <xf numFmtId="42" fontId="10" fillId="0" borderId="0" xfId="0" applyNumberFormat="1" applyFont="1" applyAlignment="1">
      <alignment vertical="center"/>
    </xf>
    <xf numFmtId="42" fontId="0" fillId="0" borderId="0" xfId="0" applyNumberFormat="1" applyAlignment="1">
      <alignment horizontal="left" vertical="center"/>
    </xf>
    <xf numFmtId="167" fontId="0" fillId="0" borderId="0" xfId="0" quotePrefix="1" applyNumberFormat="1" applyAlignment="1">
      <alignment horizontal="right" vertical="center"/>
    </xf>
    <xf numFmtId="42" fontId="0" fillId="0" borderId="0" xfId="0" applyNumberFormat="1" applyAlignment="1">
      <alignment horizontal="right" vertical="center"/>
    </xf>
    <xf numFmtId="10" fontId="45" fillId="0" borderId="4" xfId="35" applyNumberFormat="1" applyFont="1" applyFill="1" applyBorder="1" applyAlignment="1">
      <alignment horizontal="center" vertical="center"/>
    </xf>
    <xf numFmtId="0" fontId="0" fillId="0" borderId="5" xfId="0" applyBorder="1" applyAlignment="1">
      <alignment horizontal="left" vertical="center" indent="1"/>
    </xf>
    <xf numFmtId="42" fontId="10" fillId="0" borderId="18" xfId="0" applyNumberFormat="1" applyFont="1" applyBorder="1" applyAlignment="1">
      <alignment vertical="center"/>
    </xf>
    <xf numFmtId="42" fontId="0" fillId="0" borderId="18" xfId="0" applyNumberFormat="1" applyBorder="1" applyAlignment="1">
      <alignment horizontal="left" vertical="center"/>
    </xf>
    <xf numFmtId="167" fontId="0" fillId="0" borderId="18" xfId="0" quotePrefix="1" applyNumberFormat="1" applyBorder="1" applyAlignment="1">
      <alignment horizontal="right" vertical="center"/>
    </xf>
    <xf numFmtId="42" fontId="0" fillId="0" borderId="18" xfId="0" applyNumberFormat="1" applyBorder="1" applyAlignment="1">
      <alignment horizontal="right" vertical="center"/>
    </xf>
    <xf numFmtId="10" fontId="45" fillId="0" borderId="6" xfId="0" applyNumberFormat="1" applyFont="1" applyBorder="1" applyAlignment="1">
      <alignment horizontal="center" vertical="center"/>
    </xf>
    <xf numFmtId="0" fontId="23" fillId="17" borderId="0" xfId="0" applyFont="1" applyFill="1" applyAlignment="1">
      <alignment horizontal="left" vertical="center"/>
    </xf>
    <xf numFmtId="42" fontId="13" fillId="12" borderId="48" xfId="0" applyNumberFormat="1" applyFont="1" applyFill="1" applyBorder="1" applyAlignment="1">
      <alignment horizontal="center" vertical="center"/>
    </xf>
    <xf numFmtId="42" fontId="43" fillId="0" borderId="48" xfId="0" applyNumberFormat="1" applyFont="1" applyBorder="1" applyAlignment="1">
      <alignment horizontal="center" vertical="center"/>
    </xf>
    <xf numFmtId="42" fontId="13" fillId="12" borderId="76" xfId="0" applyNumberFormat="1" applyFont="1" applyFill="1" applyBorder="1" applyAlignment="1">
      <alignment horizontal="center" vertical="center"/>
    </xf>
    <xf numFmtId="42" fontId="13" fillId="12" borderId="80" xfId="0" applyNumberFormat="1" applyFont="1" applyFill="1" applyBorder="1" applyAlignment="1">
      <alignment horizontal="center" vertical="center"/>
    </xf>
    <xf numFmtId="42" fontId="13" fillId="12" borderId="86" xfId="0" applyNumberFormat="1" applyFont="1" applyFill="1" applyBorder="1" applyAlignment="1">
      <alignment horizontal="center" vertical="center"/>
    </xf>
    <xf numFmtId="42" fontId="43" fillId="0" borderId="86" xfId="0" quotePrefix="1" applyNumberFormat="1" applyFont="1" applyBorder="1" applyAlignment="1">
      <alignment horizontal="center" vertical="center"/>
    </xf>
    <xf numFmtId="0" fontId="11" fillId="4" borderId="70" xfId="9" applyFont="1" applyFill="1" applyBorder="1" applyAlignment="1">
      <alignment vertical="center"/>
    </xf>
    <xf numFmtId="0" fontId="11" fillId="4" borderId="0" xfId="0" applyFont="1" applyFill="1" applyAlignment="1">
      <alignment vertical="center"/>
    </xf>
    <xf numFmtId="9" fontId="43" fillId="4" borderId="4" xfId="0" applyNumberFormat="1" applyFont="1" applyFill="1" applyBorder="1" applyAlignment="1">
      <alignment horizontal="center" vertical="center"/>
    </xf>
    <xf numFmtId="42" fontId="11" fillId="4" borderId="11" xfId="0" applyNumberFormat="1" applyFont="1" applyFill="1" applyBorder="1" applyAlignment="1">
      <alignment horizontal="center" vertical="center"/>
    </xf>
    <xf numFmtId="167" fontId="11" fillId="11" borderId="11" xfId="0" applyNumberFormat="1" applyFont="1" applyFill="1" applyBorder="1" applyAlignment="1">
      <alignment horizontal="center" vertical="center"/>
    </xf>
    <xf numFmtId="42" fontId="11" fillId="4" borderId="22" xfId="0" applyNumberFormat="1" applyFont="1" applyFill="1" applyBorder="1" applyAlignment="1">
      <alignment horizontal="center" vertical="center"/>
    </xf>
    <xf numFmtId="42" fontId="11" fillId="4" borderId="112" xfId="0" applyNumberFormat="1" applyFont="1" applyFill="1" applyBorder="1" applyAlignment="1">
      <alignment horizontal="center" vertical="center"/>
    </xf>
    <xf numFmtId="0" fontId="11" fillId="4" borderId="47" xfId="9" applyFont="1" applyFill="1" applyBorder="1" applyAlignment="1">
      <alignment vertical="center"/>
    </xf>
    <xf numFmtId="0" fontId="13" fillId="4" borderId="0" xfId="9" applyFont="1" applyFill="1" applyAlignment="1">
      <alignment vertical="center" wrapText="1"/>
    </xf>
    <xf numFmtId="42" fontId="13" fillId="4" borderId="22" xfId="0" applyNumberFormat="1" applyFont="1" applyFill="1" applyBorder="1" applyAlignment="1">
      <alignment horizontal="center" vertical="center"/>
    </xf>
    <xf numFmtId="42" fontId="11" fillId="0" borderId="112" xfId="0" applyNumberFormat="1" applyFont="1" applyBorder="1" applyAlignment="1">
      <alignment horizontal="center" vertical="center"/>
    </xf>
    <xf numFmtId="42" fontId="11" fillId="0" borderId="88" xfId="0" applyNumberFormat="1" applyFont="1" applyBorder="1" applyAlignment="1">
      <alignment horizontal="center" vertical="center"/>
    </xf>
    <xf numFmtId="167" fontId="13" fillId="14" borderId="114" xfId="0" applyNumberFormat="1" applyFont="1" applyFill="1" applyBorder="1" applyAlignment="1">
      <alignment horizontal="center" vertical="center"/>
    </xf>
    <xf numFmtId="167" fontId="13" fillId="14" borderId="112" xfId="0" applyNumberFormat="1" applyFont="1" applyFill="1" applyBorder="1" applyAlignment="1">
      <alignment horizontal="center" vertical="center"/>
    </xf>
    <xf numFmtId="167" fontId="13" fillId="14" borderId="88" xfId="0" applyNumberFormat="1" applyFont="1" applyFill="1" applyBorder="1" applyAlignment="1">
      <alignment horizontal="center" vertical="center"/>
    </xf>
    <xf numFmtId="167" fontId="13" fillId="13" borderId="11" xfId="0" quotePrefix="1" applyNumberFormat="1" applyFont="1" applyFill="1" applyBorder="1" applyAlignment="1">
      <alignment horizontal="center" vertical="center"/>
    </xf>
    <xf numFmtId="42" fontId="13" fillId="12" borderId="22" xfId="0" applyNumberFormat="1" applyFont="1" applyFill="1" applyBorder="1" applyAlignment="1">
      <alignment horizontal="center" vertical="center"/>
    </xf>
    <xf numFmtId="167" fontId="13" fillId="13" borderId="113" xfId="0" quotePrefix="1" applyNumberFormat="1" applyFont="1" applyFill="1" applyBorder="1" applyAlignment="1">
      <alignment horizontal="center" vertical="center"/>
    </xf>
    <xf numFmtId="0" fontId="43" fillId="4" borderId="89" xfId="9" applyFont="1" applyFill="1" applyBorder="1" applyAlignment="1">
      <alignment horizontal="center" vertical="center" wrapText="1"/>
    </xf>
    <xf numFmtId="0" fontId="11" fillId="4" borderId="72" xfId="0" applyFont="1" applyFill="1" applyBorder="1" applyAlignment="1">
      <alignment vertical="center"/>
    </xf>
    <xf numFmtId="9" fontId="43" fillId="4" borderId="74" xfId="0" applyNumberFormat="1" applyFont="1" applyFill="1" applyBorder="1" applyAlignment="1">
      <alignment horizontal="center" vertical="center"/>
    </xf>
    <xf numFmtId="42" fontId="11" fillId="4" borderId="73" xfId="0" applyNumberFormat="1" applyFont="1" applyFill="1" applyBorder="1" applyAlignment="1">
      <alignment horizontal="center" vertical="center"/>
    </xf>
    <xf numFmtId="167" fontId="11" fillId="11" borderId="73" xfId="0" applyNumberFormat="1" applyFont="1" applyFill="1" applyBorder="1" applyAlignment="1">
      <alignment horizontal="center" vertical="center"/>
    </xf>
    <xf numFmtId="42" fontId="13" fillId="0" borderId="94" xfId="0" applyNumberFormat="1" applyFont="1" applyBorder="1" applyAlignment="1">
      <alignment horizontal="center" vertical="center"/>
    </xf>
    <xf numFmtId="42" fontId="11" fillId="4" borderId="113" xfId="0" applyNumberFormat="1" applyFont="1" applyFill="1" applyBorder="1" applyAlignment="1">
      <alignment horizontal="center" vertical="center"/>
    </xf>
    <xf numFmtId="167" fontId="13" fillId="14" borderId="115" xfId="0" applyNumberFormat="1" applyFont="1" applyFill="1" applyBorder="1" applyAlignment="1">
      <alignment horizontal="center" vertical="center"/>
    </xf>
    <xf numFmtId="0" fontId="43" fillId="4" borderId="90" xfId="9" applyFont="1" applyFill="1" applyBorder="1" applyAlignment="1">
      <alignment horizontal="center" vertical="center" wrapText="1"/>
    </xf>
    <xf numFmtId="0" fontId="13" fillId="4" borderId="77" xfId="9" applyFont="1" applyFill="1" applyBorder="1" applyAlignment="1">
      <alignment vertical="center" wrapText="1"/>
    </xf>
    <xf numFmtId="9" fontId="43" fillId="4" borderId="79" xfId="0" applyNumberFormat="1" applyFont="1" applyFill="1" applyBorder="1" applyAlignment="1">
      <alignment horizontal="center" vertical="center"/>
    </xf>
    <xf numFmtId="42" fontId="11" fillId="4" borderId="78" xfId="0" applyNumberFormat="1" applyFont="1" applyFill="1" applyBorder="1" applyAlignment="1">
      <alignment horizontal="center" vertical="center"/>
    </xf>
    <xf numFmtId="167" fontId="13" fillId="13" borderId="78" xfId="0" quotePrefix="1" applyNumberFormat="1" applyFont="1" applyFill="1" applyBorder="1" applyAlignment="1">
      <alignment horizontal="center" vertical="center"/>
    </xf>
    <xf numFmtId="42" fontId="13" fillId="12" borderId="108" xfId="0" applyNumberFormat="1" applyFont="1" applyFill="1" applyBorder="1" applyAlignment="1">
      <alignment horizontal="center" vertical="center"/>
    </xf>
    <xf numFmtId="42" fontId="11" fillId="4" borderId="114" xfId="0" applyNumberFormat="1" applyFont="1" applyFill="1" applyBorder="1" applyAlignment="1">
      <alignment horizontal="center" vertical="center"/>
    </xf>
    <xf numFmtId="167" fontId="13" fillId="13" borderId="115" xfId="0" quotePrefix="1" applyNumberFormat="1" applyFont="1" applyFill="1" applyBorder="1" applyAlignment="1">
      <alignment horizontal="center" vertical="center"/>
    </xf>
    <xf numFmtId="0" fontId="11" fillId="4" borderId="89" xfId="9" applyFont="1" applyFill="1" applyBorder="1" applyAlignment="1">
      <alignment vertical="center" wrapText="1"/>
    </xf>
    <xf numFmtId="0" fontId="11" fillId="4" borderId="81" xfId="0" applyFont="1" applyFill="1" applyBorder="1" applyAlignment="1">
      <alignment vertical="center"/>
    </xf>
    <xf numFmtId="42" fontId="11" fillId="0" borderId="94" xfId="0" applyNumberFormat="1" applyFont="1" applyBorder="1" applyAlignment="1">
      <alignment horizontal="center" vertical="center"/>
    </xf>
    <xf numFmtId="0" fontId="11" fillId="4" borderId="90" xfId="9" applyFont="1" applyFill="1" applyBorder="1" applyAlignment="1">
      <alignment vertical="center" wrapText="1"/>
    </xf>
    <xf numFmtId="0" fontId="11" fillId="4" borderId="77" xfId="0" applyFont="1" applyFill="1" applyBorder="1" applyAlignment="1">
      <alignment vertical="center"/>
    </xf>
    <xf numFmtId="0" fontId="11" fillId="4" borderId="47" xfId="9" applyFont="1" applyFill="1" applyBorder="1" applyAlignment="1">
      <alignment vertical="center" wrapText="1"/>
    </xf>
    <xf numFmtId="42" fontId="11" fillId="0" borderId="22" xfId="0" applyNumberFormat="1" applyFont="1" applyBorder="1" applyAlignment="1">
      <alignment horizontal="center" vertical="center"/>
    </xf>
    <xf numFmtId="0" fontId="43" fillId="4" borderId="91" xfId="9" applyFont="1" applyFill="1" applyBorder="1" applyAlignment="1">
      <alignment vertical="center" wrapText="1"/>
    </xf>
    <xf numFmtId="0" fontId="11" fillId="4" borderId="82" xfId="0" applyFont="1" applyFill="1" applyBorder="1" applyAlignment="1">
      <alignment vertical="center"/>
    </xf>
    <xf numFmtId="9" fontId="43" fillId="4" borderId="84" xfId="0" applyNumberFormat="1" applyFont="1" applyFill="1" applyBorder="1" applyAlignment="1">
      <alignment horizontal="center" vertical="center"/>
    </xf>
    <xf numFmtId="42" fontId="11" fillId="4" borderId="83" xfId="0" applyNumberFormat="1" applyFont="1" applyFill="1" applyBorder="1" applyAlignment="1">
      <alignment horizontal="center" vertical="center"/>
    </xf>
    <xf numFmtId="1" fontId="13" fillId="12" borderId="85" xfId="0" applyNumberFormat="1" applyFont="1" applyFill="1" applyBorder="1" applyAlignment="1">
      <alignment horizontal="center" vertical="center"/>
    </xf>
    <xf numFmtId="167" fontId="13" fillId="13" borderId="83" xfId="0" quotePrefix="1" applyNumberFormat="1" applyFont="1" applyFill="1" applyBorder="1" applyAlignment="1">
      <alignment horizontal="center" vertical="center"/>
    </xf>
    <xf numFmtId="42" fontId="13" fillId="12" borderId="87" xfId="0" applyNumberFormat="1" applyFont="1" applyFill="1" applyBorder="1" applyAlignment="1">
      <alignment horizontal="center" vertical="center"/>
    </xf>
    <xf numFmtId="42" fontId="11" fillId="4" borderId="115" xfId="0" applyNumberFormat="1" applyFont="1" applyFill="1" applyBorder="1" applyAlignment="1">
      <alignment horizontal="center" vertical="center"/>
    </xf>
    <xf numFmtId="42" fontId="11" fillId="0" borderId="115" xfId="0" applyNumberFormat="1" applyFont="1" applyBorder="1" applyAlignment="1">
      <alignment horizontal="center" vertical="center"/>
    </xf>
    <xf numFmtId="42" fontId="11" fillId="0" borderId="103" xfId="0" applyNumberFormat="1" applyFont="1" applyBorder="1" applyAlignment="1">
      <alignment horizontal="center" vertical="center"/>
    </xf>
    <xf numFmtId="167" fontId="13" fillId="14" borderId="103" xfId="0" applyNumberFormat="1" applyFont="1" applyFill="1" applyBorder="1" applyAlignment="1">
      <alignment horizontal="center" vertical="center"/>
    </xf>
    <xf numFmtId="0" fontId="43" fillId="4" borderId="47" xfId="9" applyFont="1" applyFill="1" applyBorder="1" applyAlignment="1">
      <alignment vertical="center" wrapText="1"/>
    </xf>
    <xf numFmtId="1" fontId="13" fillId="12" borderId="3" xfId="0" applyNumberFormat="1" applyFont="1" applyFill="1" applyBorder="1" applyAlignment="1">
      <alignment horizontal="center" vertical="center"/>
    </xf>
    <xf numFmtId="167" fontId="13" fillId="13" borderId="112" xfId="0" quotePrefix="1" applyNumberFormat="1" applyFont="1" applyFill="1" applyBorder="1" applyAlignment="1">
      <alignment horizontal="center" vertical="center"/>
    </xf>
    <xf numFmtId="0" fontId="43" fillId="0" borderId="91" xfId="9" applyFont="1" applyBorder="1" applyAlignment="1">
      <alignment horizontal="center" vertical="center"/>
    </xf>
    <xf numFmtId="0" fontId="13" fillId="0" borderId="82" xfId="9" applyFont="1" applyBorder="1" applyAlignment="1">
      <alignment vertical="center" wrapText="1"/>
    </xf>
    <xf numFmtId="167" fontId="11" fillId="11" borderId="83" xfId="0" applyNumberFormat="1" applyFont="1" applyFill="1" applyBorder="1" applyAlignment="1">
      <alignment horizontal="center" vertical="center"/>
    </xf>
    <xf numFmtId="42" fontId="11" fillId="0" borderId="87" xfId="0" applyNumberFormat="1" applyFont="1" applyBorder="1" applyAlignment="1">
      <alignment horizontal="center" vertical="center"/>
    </xf>
    <xf numFmtId="42" fontId="13" fillId="12" borderId="115" xfId="0" applyNumberFormat="1" applyFont="1" applyFill="1" applyBorder="1" applyAlignment="1">
      <alignment horizontal="center" vertical="center"/>
    </xf>
    <xf numFmtId="42" fontId="13" fillId="12" borderId="103" xfId="0" applyNumberFormat="1" applyFont="1" applyFill="1" applyBorder="1" applyAlignment="1">
      <alignment horizontal="center" vertical="center"/>
    </xf>
    <xf numFmtId="0" fontId="11" fillId="0" borderId="47" xfId="9" applyFont="1" applyBorder="1" applyAlignment="1">
      <alignment vertical="center" wrapText="1"/>
    </xf>
    <xf numFmtId="0" fontId="13" fillId="0" borderId="0" xfId="9" applyFont="1" applyAlignment="1">
      <alignment vertical="center" wrapText="1"/>
    </xf>
    <xf numFmtId="42" fontId="13" fillId="12" borderId="112" xfId="0" applyNumberFormat="1" applyFont="1" applyFill="1" applyBorder="1" applyAlignment="1">
      <alignment horizontal="center" vertical="center"/>
    </xf>
    <xf numFmtId="42" fontId="13" fillId="12" borderId="88" xfId="0" applyNumberFormat="1" applyFont="1" applyFill="1" applyBorder="1" applyAlignment="1">
      <alignment horizontal="center" vertical="center"/>
    </xf>
    <xf numFmtId="0" fontId="11" fillId="0" borderId="89" xfId="9" applyFont="1" applyBorder="1" applyAlignment="1">
      <alignment vertical="center" wrapText="1"/>
    </xf>
    <xf numFmtId="0" fontId="13" fillId="0" borderId="81" xfId="9" applyFont="1" applyBorder="1" applyAlignment="1">
      <alignment vertical="center" wrapText="1"/>
    </xf>
    <xf numFmtId="42" fontId="13" fillId="12" borderId="75" xfId="0" applyNumberFormat="1" applyFont="1" applyFill="1" applyBorder="1" applyAlignment="1">
      <alignment horizontal="center" vertical="center"/>
    </xf>
    <xf numFmtId="167" fontId="13" fillId="13" borderId="73" xfId="0" quotePrefix="1" applyNumberFormat="1" applyFont="1" applyFill="1" applyBorder="1" applyAlignment="1">
      <alignment horizontal="center" vertical="center"/>
    </xf>
    <xf numFmtId="42" fontId="13" fillId="12" borderId="94" xfId="0" applyNumberFormat="1" applyFont="1" applyFill="1" applyBorder="1" applyAlignment="1">
      <alignment horizontal="center" vertical="center"/>
    </xf>
    <xf numFmtId="42" fontId="13" fillId="12" borderId="113" xfId="0" applyNumberFormat="1" applyFont="1" applyFill="1" applyBorder="1" applyAlignment="1">
      <alignment horizontal="center" vertical="center"/>
    </xf>
    <xf numFmtId="42" fontId="13" fillId="12" borderId="106" xfId="0" applyNumberFormat="1" applyFont="1" applyFill="1" applyBorder="1" applyAlignment="1">
      <alignment horizontal="center" vertical="center"/>
    </xf>
    <xf numFmtId="167" fontId="13" fillId="13" borderId="106" xfId="0" quotePrefix="1" applyNumberFormat="1" applyFont="1" applyFill="1" applyBorder="1" applyAlignment="1">
      <alignment horizontal="center" vertical="center"/>
    </xf>
    <xf numFmtId="0" fontId="42" fillId="2" borderId="95" xfId="0" applyFont="1" applyFill="1" applyBorder="1" applyAlignment="1">
      <alignment vertical="center" wrapText="1"/>
    </xf>
    <xf numFmtId="0" fontId="42" fillId="2" borderId="96" xfId="0" applyFont="1" applyFill="1" applyBorder="1" applyAlignment="1">
      <alignment vertical="center" wrapText="1"/>
    </xf>
    <xf numFmtId="42" fontId="12" fillId="2" borderId="98" xfId="0" applyNumberFormat="1" applyFont="1" applyFill="1" applyBorder="1" applyAlignment="1">
      <alignment horizontal="center" vertical="center"/>
    </xf>
    <xf numFmtId="42" fontId="11" fillId="2" borderId="99" xfId="0" applyNumberFormat="1" applyFont="1" applyFill="1" applyBorder="1" applyAlignment="1">
      <alignment vertical="center"/>
    </xf>
    <xf numFmtId="42" fontId="11" fillId="2" borderId="100" xfId="0" applyNumberFormat="1" applyFont="1" applyFill="1" applyBorder="1" applyAlignment="1">
      <alignment vertical="center"/>
    </xf>
    <xf numFmtId="167" fontId="11" fillId="2" borderId="97" xfId="0" applyNumberFormat="1" applyFont="1" applyFill="1" applyBorder="1" applyAlignment="1">
      <alignment vertical="center"/>
    </xf>
    <xf numFmtId="42" fontId="11" fillId="2" borderId="109" xfId="0" applyNumberFormat="1" applyFont="1" applyFill="1" applyBorder="1" applyAlignment="1">
      <alignment vertical="center"/>
    </xf>
    <xf numFmtId="42" fontId="11" fillId="2" borderId="93" xfId="0" applyNumberFormat="1" applyFont="1" applyFill="1" applyBorder="1" applyAlignment="1">
      <alignment vertical="center"/>
    </xf>
    <xf numFmtId="42" fontId="11" fillId="2" borderId="101" xfId="0" applyNumberFormat="1" applyFont="1" applyFill="1" applyBorder="1" applyAlignment="1">
      <alignment vertical="center"/>
    </xf>
    <xf numFmtId="0" fontId="11" fillId="4" borderId="22" xfId="9" applyFont="1" applyFill="1" applyBorder="1" applyAlignment="1">
      <alignment vertical="center"/>
    </xf>
    <xf numFmtId="9" fontId="43" fillId="0" borderId="4" xfId="0" applyNumberFormat="1" applyFont="1" applyBorder="1" applyAlignment="1">
      <alignment horizontal="center" vertical="center"/>
    </xf>
    <xf numFmtId="42" fontId="11" fillId="0" borderId="11" xfId="0" applyNumberFormat="1" applyFont="1" applyBorder="1" applyAlignment="1">
      <alignment horizontal="center" vertical="center"/>
    </xf>
    <xf numFmtId="42" fontId="13" fillId="12" borderId="3" xfId="0" applyNumberFormat="1" applyFont="1" applyFill="1" applyBorder="1" applyAlignment="1">
      <alignment horizontal="center" vertical="center"/>
    </xf>
    <xf numFmtId="167" fontId="13" fillId="13" borderId="88" xfId="0" quotePrefix="1" applyNumberFormat="1" applyFont="1" applyFill="1" applyBorder="1" applyAlignment="1">
      <alignment horizontal="center" vertical="center"/>
    </xf>
    <xf numFmtId="0" fontId="11" fillId="4" borderId="22" xfId="9" applyFont="1" applyFill="1" applyBorder="1" applyAlignment="1">
      <alignment vertical="center" wrapText="1"/>
    </xf>
    <xf numFmtId="0" fontId="43" fillId="0" borderId="92" xfId="9" applyFont="1" applyBorder="1" applyAlignment="1">
      <alignment vertical="center" wrapText="1"/>
    </xf>
    <xf numFmtId="0" fontId="13" fillId="0" borderId="71" xfId="9" applyFont="1" applyBorder="1" applyAlignment="1">
      <alignment vertical="center" wrapText="1"/>
    </xf>
    <xf numFmtId="9" fontId="43" fillId="0" borderId="61" xfId="0" applyNumberFormat="1" applyFont="1" applyBorder="1" applyAlignment="1">
      <alignment horizontal="center" vertical="center"/>
    </xf>
    <xf numFmtId="42" fontId="11" fillId="0" borderId="60" xfId="0" applyNumberFormat="1" applyFont="1" applyBorder="1" applyAlignment="1">
      <alignment horizontal="center" vertical="center"/>
    </xf>
    <xf numFmtId="42" fontId="13" fillId="12" borderId="62" xfId="0" applyNumberFormat="1" applyFont="1" applyFill="1" applyBorder="1" applyAlignment="1">
      <alignment horizontal="center" vertical="center"/>
    </xf>
    <xf numFmtId="42" fontId="13" fillId="12" borderId="63" xfId="0" applyNumberFormat="1" applyFont="1" applyFill="1" applyBorder="1" applyAlignment="1">
      <alignment horizontal="center" vertical="center"/>
    </xf>
    <xf numFmtId="167" fontId="13" fillId="13" borderId="60" xfId="0" quotePrefix="1" applyNumberFormat="1" applyFont="1" applyFill="1" applyBorder="1" applyAlignment="1">
      <alignment horizontal="center" vertical="center"/>
    </xf>
    <xf numFmtId="42" fontId="13" fillId="12" borderId="71" xfId="0" applyNumberFormat="1" applyFont="1" applyFill="1" applyBorder="1" applyAlignment="1">
      <alignment horizontal="center" vertical="center"/>
    </xf>
    <xf numFmtId="42" fontId="13" fillId="12" borderId="116" xfId="0" applyNumberFormat="1" applyFont="1" applyFill="1" applyBorder="1" applyAlignment="1">
      <alignment horizontal="center" vertical="center"/>
    </xf>
    <xf numFmtId="42" fontId="13" fillId="12" borderId="107" xfId="0" applyNumberFormat="1" applyFont="1" applyFill="1" applyBorder="1" applyAlignment="1">
      <alignment horizontal="center" vertical="center"/>
    </xf>
    <xf numFmtId="167" fontId="13" fillId="13" borderId="116" xfId="0" quotePrefix="1" applyNumberFormat="1" applyFont="1" applyFill="1" applyBorder="1" applyAlignment="1">
      <alignment horizontal="center" vertical="center"/>
    </xf>
    <xf numFmtId="167" fontId="13" fillId="13" borderId="107" xfId="0" quotePrefix="1" applyNumberFormat="1" applyFont="1" applyFill="1" applyBorder="1" applyAlignment="1">
      <alignment horizontal="center" vertical="center"/>
    </xf>
    <xf numFmtId="0" fontId="0" fillId="4" borderId="3" xfId="0" applyFill="1" applyBorder="1"/>
    <xf numFmtId="0" fontId="79" fillId="17" borderId="0" xfId="0" applyFont="1" applyFill="1" applyAlignment="1">
      <alignment horizontal="left" vertical="center" indent="2"/>
    </xf>
    <xf numFmtId="3" fontId="47" fillId="0" borderId="56" xfId="1" applyNumberFormat="1" applyFont="1" applyBorder="1" applyAlignment="1">
      <alignment horizontal="center" vertical="center"/>
    </xf>
    <xf numFmtId="10" fontId="45" fillId="0" borderId="4" xfId="0" applyNumberFormat="1" applyFont="1" applyBorder="1" applyAlignment="1">
      <alignment horizontal="center" vertical="center"/>
    </xf>
    <xf numFmtId="42" fontId="10" fillId="0" borderId="0" xfId="0" applyNumberFormat="1" applyFont="1" applyAlignment="1">
      <alignment horizontal="left" vertical="center" indent="1"/>
    </xf>
    <xf numFmtId="42" fontId="10" fillId="0" borderId="18" xfId="0" applyNumberFormat="1" applyFont="1" applyBorder="1" applyAlignment="1">
      <alignment horizontal="left" vertical="center" indent="1"/>
    </xf>
    <xf numFmtId="0" fontId="84" fillId="4" borderId="0" xfId="0" applyFont="1" applyFill="1"/>
    <xf numFmtId="171" fontId="84" fillId="4" borderId="0" xfId="0" applyNumberFormat="1" applyFont="1" applyFill="1"/>
    <xf numFmtId="42" fontId="48" fillId="11" borderId="110" xfId="0" applyNumberFormat="1" applyFont="1" applyFill="1" applyBorder="1" applyAlignment="1">
      <alignment horizontal="center" vertical="center" wrapText="1"/>
    </xf>
    <xf numFmtId="0" fontId="47" fillId="0" borderId="0" xfId="0" applyFont="1" applyAlignment="1">
      <alignment horizontal="center"/>
    </xf>
    <xf numFmtId="171" fontId="24" fillId="4" borderId="0" xfId="0" applyNumberFormat="1" applyFont="1" applyFill="1"/>
    <xf numFmtId="0" fontId="24" fillId="4" borderId="0" xfId="0" applyFont="1" applyFill="1"/>
    <xf numFmtId="0" fontId="4" fillId="4" borderId="0" xfId="0" applyFont="1" applyFill="1"/>
    <xf numFmtId="167" fontId="71" fillId="3" borderId="7" xfId="24" applyNumberFormat="1" applyFont="1" applyFill="1" applyBorder="1" applyAlignment="1">
      <alignment horizontal="center" vertical="center" wrapText="1"/>
    </xf>
    <xf numFmtId="0" fontId="47" fillId="0" borderId="0" xfId="0" applyFont="1"/>
    <xf numFmtId="0" fontId="55" fillId="0" borderId="0" xfId="0" applyFont="1"/>
    <xf numFmtId="0" fontId="47" fillId="0" borderId="0" xfId="11" applyFont="1"/>
    <xf numFmtId="0" fontId="47" fillId="0" borderId="0" xfId="11" applyFont="1" applyAlignment="1">
      <alignment horizontal="center"/>
    </xf>
    <xf numFmtId="167" fontId="47" fillId="0" borderId="0" xfId="24" applyNumberFormat="1" applyFont="1" applyFill="1" applyAlignment="1"/>
    <xf numFmtId="167" fontId="47" fillId="0" borderId="0" xfId="24" applyNumberFormat="1" applyFont="1" applyAlignment="1"/>
    <xf numFmtId="167" fontId="55" fillId="0" borderId="0" xfId="24" applyNumberFormat="1" applyFont="1" applyAlignment="1"/>
    <xf numFmtId="167" fontId="73" fillId="0" borderId="0" xfId="24" applyNumberFormat="1" applyFont="1" applyAlignment="1"/>
    <xf numFmtId="0" fontId="73" fillId="0" borderId="0" xfId="0" applyFont="1"/>
    <xf numFmtId="1" fontId="73" fillId="0" borderId="19" xfId="24" applyNumberFormat="1" applyFont="1" applyFill="1" applyBorder="1" applyAlignment="1">
      <alignment horizontal="center" vertical="center"/>
    </xf>
    <xf numFmtId="1" fontId="73" fillId="0" borderId="127" xfId="0" applyNumberFormat="1" applyFont="1" applyBorder="1" applyAlignment="1">
      <alignment horizontal="center" vertical="center"/>
    </xf>
    <xf numFmtId="1" fontId="73" fillId="0" borderId="57" xfId="0" applyNumberFormat="1" applyFont="1" applyBorder="1" applyAlignment="1">
      <alignment horizontal="center" vertical="center"/>
    </xf>
    <xf numFmtId="1" fontId="73" fillId="0" borderId="19" xfId="0" applyNumberFormat="1" applyFont="1" applyBorder="1" applyAlignment="1">
      <alignment horizontal="center" vertical="center"/>
    </xf>
    <xf numFmtId="1" fontId="73" fillId="0" borderId="20" xfId="0" applyNumberFormat="1" applyFont="1" applyBorder="1" applyAlignment="1">
      <alignment horizontal="center" vertical="center"/>
    </xf>
    <xf numFmtId="1" fontId="73" fillId="0" borderId="23" xfId="24" applyNumberFormat="1" applyFont="1" applyFill="1" applyBorder="1" applyAlignment="1">
      <alignment horizontal="center" vertical="center"/>
    </xf>
    <xf numFmtId="1" fontId="73" fillId="0" borderId="123" xfId="0" applyNumberFormat="1" applyFont="1" applyBorder="1" applyAlignment="1">
      <alignment horizontal="center" vertical="center"/>
    </xf>
    <xf numFmtId="1" fontId="73" fillId="0" borderId="41" xfId="0" applyNumberFormat="1" applyFont="1" applyBorder="1" applyAlignment="1">
      <alignment horizontal="center" vertical="center"/>
    </xf>
    <xf numFmtId="1" fontId="73" fillId="0" borderId="23" xfId="0" applyNumberFormat="1" applyFont="1" applyBorder="1" applyAlignment="1">
      <alignment horizontal="center" vertical="center"/>
    </xf>
    <xf numFmtId="1" fontId="73" fillId="0" borderId="125" xfId="0" applyNumberFormat="1" applyFont="1" applyBorder="1" applyAlignment="1">
      <alignment horizontal="center" vertical="center"/>
    </xf>
    <xf numFmtId="1" fontId="73" fillId="0" borderId="16" xfId="24" applyNumberFormat="1" applyFont="1" applyFill="1" applyBorder="1" applyAlignment="1">
      <alignment horizontal="center" vertical="center"/>
    </xf>
    <xf numFmtId="1" fontId="73" fillId="0" borderId="128" xfId="0" applyNumberFormat="1" applyFont="1" applyBorder="1" applyAlignment="1">
      <alignment horizontal="center" vertical="center"/>
    </xf>
    <xf numFmtId="1" fontId="73" fillId="0" borderId="42" xfId="0" applyNumberFormat="1" applyFont="1" applyBorder="1" applyAlignment="1">
      <alignment horizontal="center" vertical="center"/>
    </xf>
    <xf numFmtId="1" fontId="73" fillId="0" borderId="16" xfId="0" applyNumberFormat="1" applyFont="1" applyBorder="1" applyAlignment="1">
      <alignment horizontal="center" vertical="center"/>
    </xf>
    <xf numFmtId="1" fontId="73" fillId="0" borderId="126" xfId="0" applyNumberFormat="1" applyFont="1" applyBorder="1" applyAlignment="1">
      <alignment horizontal="center" vertical="center"/>
    </xf>
    <xf numFmtId="167" fontId="71" fillId="3" borderId="130" xfId="24" applyNumberFormat="1" applyFont="1" applyFill="1" applyBorder="1" applyAlignment="1">
      <alignment horizontal="center" vertical="center" wrapText="1"/>
    </xf>
    <xf numFmtId="167" fontId="71" fillId="3" borderId="132" xfId="24" applyNumberFormat="1" applyFont="1" applyFill="1" applyBorder="1" applyAlignment="1">
      <alignment horizontal="center" vertical="center" wrapText="1"/>
    </xf>
    <xf numFmtId="167" fontId="71" fillId="3" borderId="133" xfId="24" applyNumberFormat="1" applyFont="1" applyFill="1" applyBorder="1" applyAlignment="1">
      <alignment horizontal="center" vertical="center" wrapText="1"/>
    </xf>
    <xf numFmtId="167" fontId="71" fillId="3" borderId="131" xfId="24" applyNumberFormat="1" applyFont="1" applyFill="1" applyBorder="1" applyAlignment="1">
      <alignment horizontal="center" vertical="center" wrapText="1"/>
    </xf>
    <xf numFmtId="1" fontId="73" fillId="0" borderId="15" xfId="24" applyNumberFormat="1" applyFont="1" applyFill="1" applyBorder="1" applyAlignment="1">
      <alignment horizontal="center" vertical="center"/>
    </xf>
    <xf numFmtId="1" fontId="73" fillId="0" borderId="56" xfId="24" applyNumberFormat="1" applyFont="1" applyFill="1" applyBorder="1" applyAlignment="1">
      <alignment horizontal="center" vertical="center"/>
    </xf>
    <xf numFmtId="1" fontId="73" fillId="0" borderId="17" xfId="24" applyNumberFormat="1" applyFont="1" applyFill="1" applyBorder="1" applyAlignment="1">
      <alignment horizontal="center" vertical="center"/>
    </xf>
    <xf numFmtId="167" fontId="71" fillId="3" borderId="130" xfId="24" applyNumberFormat="1" applyFont="1" applyFill="1" applyBorder="1" applyAlignment="1">
      <alignment horizontal="center" vertical="center"/>
    </xf>
    <xf numFmtId="1" fontId="73" fillId="0" borderId="57" xfId="24" applyNumberFormat="1" applyFont="1" applyFill="1" applyBorder="1" applyAlignment="1">
      <alignment horizontal="center" vertical="center"/>
    </xf>
    <xf numFmtId="1" fontId="73" fillId="0" borderId="41" xfId="24" applyNumberFormat="1" applyFont="1" applyFill="1" applyBorder="1" applyAlignment="1">
      <alignment horizontal="center" vertical="center"/>
    </xf>
    <xf numFmtId="1" fontId="73" fillId="0" borderId="42" xfId="24" applyNumberFormat="1" applyFont="1" applyFill="1" applyBorder="1" applyAlignment="1">
      <alignment horizontal="center" vertical="center"/>
    </xf>
    <xf numFmtId="167" fontId="71" fillId="3" borderId="8" xfId="24" applyNumberFormat="1" applyFont="1" applyFill="1" applyBorder="1" applyAlignment="1">
      <alignment horizontal="center" vertical="center" wrapText="1"/>
    </xf>
    <xf numFmtId="42" fontId="13" fillId="4" borderId="73" xfId="0" applyNumberFormat="1" applyFont="1" applyFill="1" applyBorder="1" applyAlignment="1">
      <alignment horizontal="center" vertical="center"/>
    </xf>
    <xf numFmtId="42" fontId="13" fillId="4" borderId="11" xfId="0" applyNumberFormat="1" applyFont="1" applyFill="1" applyBorder="1" applyAlignment="1">
      <alignment horizontal="center" vertical="center"/>
    </xf>
    <xf numFmtId="42" fontId="13" fillId="4" borderId="78" xfId="0" applyNumberFormat="1" applyFont="1" applyFill="1" applyBorder="1" applyAlignment="1">
      <alignment horizontal="center" vertical="center"/>
    </xf>
    <xf numFmtId="42" fontId="13" fillId="4" borderId="83" xfId="0" applyNumberFormat="1" applyFont="1" applyFill="1" applyBorder="1" applyAlignment="1">
      <alignment horizontal="center" vertical="center"/>
    </xf>
    <xf numFmtId="42" fontId="13" fillId="2" borderId="97" xfId="0" applyNumberFormat="1" applyFont="1" applyFill="1" applyBorder="1" applyAlignment="1">
      <alignment horizontal="center" vertical="center"/>
    </xf>
    <xf numFmtId="1" fontId="13" fillId="4" borderId="11" xfId="0" applyNumberFormat="1" applyFont="1" applyFill="1" applyBorder="1" applyAlignment="1">
      <alignment horizontal="center" vertical="center"/>
    </xf>
    <xf numFmtId="1" fontId="13" fillId="4" borderId="73" xfId="0" applyNumberFormat="1" applyFont="1" applyFill="1" applyBorder="1" applyAlignment="1">
      <alignment horizontal="center" vertical="center"/>
    </xf>
    <xf numFmtId="1" fontId="13" fillId="4" borderId="78" xfId="0" applyNumberFormat="1" applyFont="1" applyFill="1" applyBorder="1" applyAlignment="1">
      <alignment horizontal="center" vertical="center"/>
    </xf>
    <xf numFmtId="1" fontId="85" fillId="8" borderId="12" xfId="0" applyNumberFormat="1" applyFont="1" applyFill="1" applyBorder="1" applyAlignment="1">
      <alignment horizontal="center" vertical="center"/>
    </xf>
    <xf numFmtId="0" fontId="79" fillId="6" borderId="1" xfId="2" applyFont="1" applyFill="1" applyBorder="1" applyAlignment="1">
      <alignment horizontal="left" vertical="center"/>
    </xf>
    <xf numFmtId="0" fontId="79" fillId="6" borderId="14" xfId="2" applyFont="1" applyFill="1" applyBorder="1" applyAlignment="1">
      <alignment horizontal="left" vertical="center"/>
    </xf>
    <xf numFmtId="0" fontId="79" fillId="6" borderId="2" xfId="2" applyFont="1" applyFill="1" applyBorder="1" applyAlignment="1">
      <alignment horizontal="left" vertical="center"/>
    </xf>
    <xf numFmtId="167" fontId="71" fillId="3" borderId="7" xfId="24" applyNumberFormat="1" applyFont="1" applyFill="1" applyBorder="1" applyAlignment="1">
      <alignment horizontal="center" vertical="center" wrapText="1"/>
    </xf>
    <xf numFmtId="167" fontId="71" fillId="3" borderId="5" xfId="24" applyNumberFormat="1" applyFont="1" applyFill="1" applyBorder="1" applyAlignment="1">
      <alignment horizontal="center" vertical="center" wrapText="1"/>
    </xf>
    <xf numFmtId="167" fontId="71" fillId="3" borderId="10" xfId="24" applyNumberFormat="1" applyFont="1" applyFill="1" applyBorder="1" applyAlignment="1">
      <alignment horizontal="center" vertical="center" wrapText="1"/>
    </xf>
    <xf numFmtId="167" fontId="71" fillId="3" borderId="12" xfId="24" applyNumberFormat="1" applyFont="1" applyFill="1" applyBorder="1" applyAlignment="1">
      <alignment horizontal="center" vertical="center" wrapText="1"/>
    </xf>
    <xf numFmtId="167" fontId="71" fillId="3" borderId="1" xfId="24" applyNumberFormat="1" applyFont="1" applyFill="1" applyBorder="1" applyAlignment="1">
      <alignment horizontal="center" vertical="center" wrapText="1"/>
    </xf>
    <xf numFmtId="167" fontId="71" fillId="3" borderId="14" xfId="24" applyNumberFormat="1" applyFont="1" applyFill="1" applyBorder="1" applyAlignment="1">
      <alignment horizontal="center" vertical="center" wrapText="1"/>
    </xf>
    <xf numFmtId="167" fontId="71" fillId="3" borderId="2" xfId="24" applyNumberFormat="1" applyFont="1" applyFill="1" applyBorder="1" applyAlignment="1">
      <alignment horizontal="center" vertical="center" wrapText="1"/>
    </xf>
    <xf numFmtId="0" fontId="3" fillId="4" borderId="0" xfId="0" applyFont="1" applyFill="1" applyAlignment="1">
      <alignment horizontal="right"/>
    </xf>
    <xf numFmtId="0" fontId="0" fillId="0" borderId="3" xfId="0" applyBorder="1" applyAlignment="1">
      <alignment horizontal="left" vertical="center" wrapText="1" indent="1"/>
    </xf>
    <xf numFmtId="0" fontId="0" fillId="0" borderId="0" xfId="0" applyAlignment="1">
      <alignment horizontal="left" vertical="center" indent="1"/>
    </xf>
    <xf numFmtId="167" fontId="13" fillId="14" borderId="113" xfId="0" applyNumberFormat="1" applyFont="1" applyFill="1" applyBorder="1" applyAlignment="1">
      <alignment horizontal="center" vertical="center"/>
    </xf>
    <xf numFmtId="167" fontId="13" fillId="14" borderId="112" xfId="0" applyNumberFormat="1" applyFont="1" applyFill="1" applyBorder="1" applyAlignment="1">
      <alignment horizontal="center" vertical="center"/>
    </xf>
    <xf numFmtId="167" fontId="13" fillId="14" borderId="106" xfId="0" applyNumberFormat="1" applyFont="1" applyFill="1" applyBorder="1" applyAlignment="1">
      <alignment horizontal="center" vertical="center"/>
    </xf>
    <xf numFmtId="167" fontId="13" fillId="14" borderId="88" xfId="0" applyNumberFormat="1" applyFont="1" applyFill="1" applyBorder="1" applyAlignment="1">
      <alignment horizontal="center" vertical="center"/>
    </xf>
    <xf numFmtId="42" fontId="11" fillId="0" borderId="118" xfId="0" applyNumberFormat="1" applyFont="1" applyBorder="1" applyAlignment="1">
      <alignment horizontal="center" vertical="center"/>
    </xf>
    <xf numFmtId="42" fontId="11" fillId="0" borderId="112" xfId="0" applyNumberFormat="1" applyFont="1" applyBorder="1" applyAlignment="1">
      <alignment horizontal="center" vertical="center"/>
    </xf>
    <xf numFmtId="42" fontId="11" fillId="0" borderId="69" xfId="0" applyNumberFormat="1" applyFont="1" applyBorder="1" applyAlignment="1">
      <alignment horizontal="center" vertical="center"/>
    </xf>
    <xf numFmtId="42" fontId="11" fillId="0" borderId="88" xfId="0" applyNumberFormat="1" applyFont="1" applyBorder="1" applyAlignment="1">
      <alignment horizontal="center" vertical="center"/>
    </xf>
    <xf numFmtId="0" fontId="0" fillId="14" borderId="9" xfId="0" applyFill="1" applyBorder="1" applyAlignment="1">
      <alignment horizontal="center" vertical="center"/>
    </xf>
    <xf numFmtId="0" fontId="0" fillId="14" borderId="69" xfId="0" applyFill="1" applyBorder="1" applyAlignment="1">
      <alignment horizontal="center" vertical="center"/>
    </xf>
    <xf numFmtId="167" fontId="13" fillId="14" borderId="114" xfId="0" applyNumberFormat="1" applyFont="1" applyFill="1" applyBorder="1" applyAlignment="1">
      <alignment horizontal="center" vertical="center"/>
    </xf>
    <xf numFmtId="167" fontId="13" fillId="14" borderId="105" xfId="0" applyNumberFormat="1" applyFont="1" applyFill="1" applyBorder="1" applyAlignment="1">
      <alignment horizontal="center" vertical="center"/>
    </xf>
    <xf numFmtId="42" fontId="13" fillId="0" borderId="106" xfId="0" applyNumberFormat="1" applyFont="1" applyBorder="1" applyAlignment="1">
      <alignment horizontal="center" vertical="center"/>
    </xf>
    <xf numFmtId="42" fontId="13" fillId="0" borderId="105" xfId="0" applyNumberFormat="1" applyFont="1" applyBorder="1" applyAlignment="1">
      <alignment horizontal="center" vertical="center"/>
    </xf>
    <xf numFmtId="42" fontId="13" fillId="0" borderId="113" xfId="0" applyNumberFormat="1" applyFont="1" applyBorder="1" applyAlignment="1">
      <alignment horizontal="center" vertical="center"/>
    </xf>
    <xf numFmtId="42" fontId="13" fillId="0" borderId="114" xfId="0" applyNumberFormat="1" applyFont="1" applyBorder="1" applyAlignment="1">
      <alignment horizontal="center" vertical="center"/>
    </xf>
    <xf numFmtId="0" fontId="0" fillId="7" borderId="1" xfId="0" applyFill="1" applyBorder="1" applyAlignment="1">
      <alignment vertical="center"/>
    </xf>
    <xf numFmtId="0" fontId="0" fillId="7" borderId="14" xfId="0" applyFill="1" applyBorder="1" applyAlignment="1">
      <alignment vertical="center"/>
    </xf>
    <xf numFmtId="0" fontId="0" fillId="7" borderId="2" xfId="0" applyFill="1" applyBorder="1" applyAlignment="1">
      <alignment vertical="center"/>
    </xf>
    <xf numFmtId="0" fontId="3" fillId="7" borderId="1" xfId="0" applyFont="1" applyFill="1" applyBorder="1" applyAlignment="1">
      <alignment horizontal="left" vertical="center"/>
    </xf>
    <xf numFmtId="0" fontId="3" fillId="7" borderId="14" xfId="0" applyFont="1" applyFill="1" applyBorder="1" applyAlignment="1">
      <alignment horizontal="left" vertical="center"/>
    </xf>
    <xf numFmtId="0" fontId="3" fillId="7" borderId="2" xfId="0" applyFont="1" applyFill="1" applyBorder="1" applyAlignment="1">
      <alignment horizontal="left" vertical="center"/>
    </xf>
    <xf numFmtId="0" fontId="58" fillId="3" borderId="95" xfId="0" applyFont="1" applyFill="1" applyBorder="1" applyAlignment="1">
      <alignment horizontal="center" vertical="center" wrapText="1"/>
    </xf>
    <xf numFmtId="0" fontId="58" fillId="3" borderId="96" xfId="0" applyFont="1" applyFill="1" applyBorder="1" applyAlignment="1">
      <alignment horizontal="center" vertical="center" wrapText="1"/>
    </xf>
    <xf numFmtId="0" fontId="58" fillId="3" borderId="101" xfId="0" applyFont="1" applyFill="1" applyBorder="1" applyAlignment="1">
      <alignment horizontal="center" vertical="center" wrapText="1"/>
    </xf>
    <xf numFmtId="42" fontId="13" fillId="0" borderId="112" xfId="0" applyNumberFormat="1" applyFont="1" applyBorder="1" applyAlignment="1">
      <alignment horizontal="center" vertical="center"/>
    </xf>
    <xf numFmtId="42" fontId="13" fillId="0" borderId="88" xfId="0" applyNumberFormat="1" applyFont="1" applyBorder="1" applyAlignment="1">
      <alignment horizontal="center" vertical="center"/>
    </xf>
    <xf numFmtId="0" fontId="3" fillId="3" borderId="1" xfId="0" applyFont="1" applyFill="1" applyBorder="1" applyAlignment="1">
      <alignment horizontal="left" vertical="center"/>
    </xf>
    <xf numFmtId="0" fontId="3" fillId="3" borderId="14" xfId="0" applyFont="1" applyFill="1" applyBorder="1" applyAlignment="1">
      <alignment horizontal="left" vertical="center"/>
    </xf>
    <xf numFmtId="0" fontId="3" fillId="3" borderId="2" xfId="0" applyFont="1" applyFill="1" applyBorder="1" applyAlignment="1">
      <alignment horizontal="left" vertical="center"/>
    </xf>
    <xf numFmtId="171" fontId="0" fillId="4" borderId="11" xfId="0" applyNumberFormat="1" applyFill="1" applyBorder="1" applyAlignment="1">
      <alignment horizontal="center" vertical="center"/>
    </xf>
    <xf numFmtId="171" fontId="0" fillId="4" borderId="4" xfId="0" applyNumberFormat="1" applyFill="1" applyBorder="1" applyAlignment="1">
      <alignment horizontal="center" vertical="center"/>
    </xf>
    <xf numFmtId="171" fontId="0" fillId="0" borderId="119" xfId="0" applyNumberFormat="1" applyBorder="1" applyAlignment="1">
      <alignment horizontal="center" vertical="center"/>
    </xf>
    <xf numFmtId="171" fontId="0" fillId="0" borderId="120" xfId="0" applyNumberFormat="1" applyBorder="1" applyAlignment="1">
      <alignment horizontal="center" vertical="center"/>
    </xf>
    <xf numFmtId="171" fontId="0" fillId="0" borderId="121" xfId="0" applyNumberFormat="1" applyBorder="1" applyAlignment="1">
      <alignment horizontal="center" vertical="center"/>
    </xf>
    <xf numFmtId="171" fontId="0" fillId="0" borderId="122" xfId="0" applyNumberFormat="1" applyBorder="1" applyAlignment="1">
      <alignment horizontal="center" vertical="center"/>
    </xf>
    <xf numFmtId="171" fontId="0" fillId="0" borderId="51" xfId="0" applyNumberFormat="1" applyBorder="1" applyAlignment="1">
      <alignment horizontal="center" vertical="center"/>
    </xf>
    <xf numFmtId="171" fontId="0" fillId="0" borderId="52" xfId="0" applyNumberFormat="1" applyBorder="1" applyAlignment="1">
      <alignment horizontal="center" vertical="center"/>
    </xf>
    <xf numFmtId="168" fontId="24" fillId="0" borderId="53" xfId="0" applyNumberFormat="1" applyFont="1" applyBorder="1" applyAlignment="1">
      <alignment horizontal="center" vertical="center"/>
    </xf>
    <xf numFmtId="168" fontId="24" fillId="0" borderId="54" xfId="0" applyNumberFormat="1" applyFont="1" applyBorder="1" applyAlignment="1">
      <alignment horizontal="center" vertical="center"/>
    </xf>
    <xf numFmtId="168" fontId="24" fillId="0" borderId="55" xfId="0" applyNumberFormat="1" applyFont="1" applyBorder="1" applyAlignment="1">
      <alignment horizontal="center" vertical="center"/>
    </xf>
    <xf numFmtId="171" fontId="3" fillId="4" borderId="11" xfId="0" applyNumberFormat="1" applyFont="1" applyFill="1" applyBorder="1" applyAlignment="1">
      <alignment horizontal="center" vertical="center"/>
    </xf>
    <xf numFmtId="171" fontId="55" fillId="4" borderId="10" xfId="0" applyNumberFormat="1" applyFont="1" applyFill="1" applyBorder="1" applyAlignment="1">
      <alignment horizontal="center" vertical="center"/>
    </xf>
    <xf numFmtId="171" fontId="55" fillId="4" borderId="11" xfId="0" applyNumberFormat="1" applyFont="1" applyFill="1" applyBorder="1" applyAlignment="1">
      <alignment horizontal="center" vertical="center"/>
    </xf>
    <xf numFmtId="171" fontId="55" fillId="4" borderId="49" xfId="0" applyNumberFormat="1" applyFont="1" applyFill="1" applyBorder="1" applyAlignment="1">
      <alignment horizontal="center" vertical="center"/>
    </xf>
    <xf numFmtId="171" fontId="0" fillId="4" borderId="10" xfId="0" applyNumberFormat="1" applyFill="1" applyBorder="1" applyAlignment="1">
      <alignment horizontal="center" vertical="center"/>
    </xf>
    <xf numFmtId="171" fontId="0" fillId="4" borderId="49" xfId="0" applyNumberFormat="1" applyFill="1" applyBorder="1" applyAlignment="1">
      <alignment horizontal="center" vertical="center"/>
    </xf>
    <xf numFmtId="171" fontId="55" fillId="4" borderId="8" xfId="0" applyNumberFormat="1" applyFont="1" applyFill="1" applyBorder="1" applyAlignment="1">
      <alignment horizontal="center" vertical="center"/>
    </xf>
    <xf numFmtId="171" fontId="55" fillId="4" borderId="4" xfId="0" applyNumberFormat="1" applyFont="1" applyFill="1" applyBorder="1" applyAlignment="1">
      <alignment horizontal="center" vertical="center"/>
    </xf>
    <xf numFmtId="171" fontId="55" fillId="4" borderId="27" xfId="0" applyNumberFormat="1" applyFont="1" applyFill="1" applyBorder="1" applyAlignment="1">
      <alignment horizontal="center" vertical="center"/>
    </xf>
    <xf numFmtId="168" fontId="24" fillId="0" borderId="50" xfId="0" applyNumberFormat="1" applyFont="1" applyBorder="1" applyAlignment="1">
      <alignment horizontal="center" vertical="center"/>
    </xf>
    <xf numFmtId="168" fontId="24" fillId="0" borderId="51" xfId="0" applyNumberFormat="1" applyFont="1" applyBorder="1" applyAlignment="1">
      <alignment horizontal="center" vertical="center"/>
    </xf>
    <xf numFmtId="168" fontId="24" fillId="0" borderId="52" xfId="0" applyNumberFormat="1" applyFont="1" applyBorder="1" applyAlignment="1">
      <alignment horizontal="center" vertical="center"/>
    </xf>
    <xf numFmtId="0" fontId="0" fillId="4" borderId="0" xfId="0" applyFont="1" applyFill="1" applyAlignment="1">
      <alignment wrapText="1"/>
    </xf>
  </cellXfs>
  <cellStyles count="40">
    <cellStyle name="Accent5" xfId="4" builtinId="45"/>
    <cellStyle name="Hyperlink" xfId="31" builtinId="8"/>
    <cellStyle name="Komma 2" xfId="5" xr:uid="{00000000-0005-0000-0000-000002000000}"/>
    <cellStyle name="Normal 2" xfId="30" xr:uid="{3556A419-6CC9-4AC9-96EA-5AA1E031BDC1}"/>
    <cellStyle name="Normal 2 2" xfId="32" xr:uid="{348A7770-5638-4340-BC5D-D23C5F3DA0CB}"/>
    <cellStyle name="Ongeldig" xfId="25" builtinId="27"/>
    <cellStyle name="Procent" xfId="35" builtinId="5"/>
    <cellStyle name="Procent 2" xfId="8" xr:uid="{00000000-0005-0000-0000-000003000000}"/>
    <cellStyle name="Procent 2 2" xfId="14" xr:uid="{00000000-0005-0000-0000-000004000000}"/>
    <cellStyle name="Procent 2 3" xfId="28" xr:uid="{F34E5A1B-4F2F-47F3-8506-CDE8107E33D2}"/>
    <cellStyle name="Procent 2 3 2" xfId="34" xr:uid="{34364B9D-E582-4CA1-A8BD-CDE37F8E8812}"/>
    <cellStyle name="Procent 3" xfId="12" xr:uid="{00000000-0005-0000-0000-000005000000}"/>
    <cellStyle name="Procent 4" xfId="19" xr:uid="{00000000-0005-0000-0000-000006000000}"/>
    <cellStyle name="Procent 4 2" xfId="22" xr:uid="{00000000-0005-0000-0000-000007000000}"/>
    <cellStyle name="Standaard" xfId="0" builtinId="0"/>
    <cellStyle name="Standaard 2" xfId="1" xr:uid="{00000000-0005-0000-0000-000009000000}"/>
    <cellStyle name="Standaard 2 2" xfId="2" xr:uid="{00000000-0005-0000-0000-00000A000000}"/>
    <cellStyle name="Standaard 2 3" xfId="26" xr:uid="{7977CBFE-E981-47C1-B7DB-5F20C05FA345}"/>
    <cellStyle name="Standaard 2 3 2" xfId="33" xr:uid="{90448184-ED56-4BE4-B68B-9978604291CF}"/>
    <cellStyle name="Standaard 2 4" xfId="36" xr:uid="{696AA977-B21F-4AC2-B3B1-A1C75867DDA8}"/>
    <cellStyle name="Standaard 3" xfId="6" xr:uid="{00000000-0005-0000-0000-00000B000000}"/>
    <cellStyle name="Standaard 3 2" xfId="16" xr:uid="{00000000-0005-0000-0000-00000C000000}"/>
    <cellStyle name="Standaard 4" xfId="9" xr:uid="{00000000-0005-0000-0000-00000D000000}"/>
    <cellStyle name="Standaard 5" xfId="10" xr:uid="{00000000-0005-0000-0000-00000E000000}"/>
    <cellStyle name="Standaard 5 2" xfId="13" xr:uid="{00000000-0005-0000-0000-00000F000000}"/>
    <cellStyle name="Standaard 5 3" xfId="23" xr:uid="{00000000-0005-0000-0000-000010000000}"/>
    <cellStyle name="Standaard 5 3 2" xfId="37" xr:uid="{9C20B312-337A-45DC-9A87-A2C25EE5D512}"/>
    <cellStyle name="Standaard 6" xfId="11" xr:uid="{00000000-0005-0000-0000-000011000000}"/>
    <cellStyle name="Standaard 7" xfId="17" xr:uid="{00000000-0005-0000-0000-000012000000}"/>
    <cellStyle name="Standaard 7 2" xfId="20" xr:uid="{00000000-0005-0000-0000-000013000000}"/>
    <cellStyle name="Standaard 8" xfId="29" xr:uid="{0A56D6A2-EABA-477C-A5AC-8B8C31EAF7EA}"/>
    <cellStyle name="Standaard_2010-2011" xfId="3" xr:uid="{00000000-0005-0000-0000-000014000000}"/>
    <cellStyle name="Valuta" xfId="24" builtinId="4"/>
    <cellStyle name="Valuta 2" xfId="7" xr:uid="{00000000-0005-0000-0000-000016000000}"/>
    <cellStyle name="Valuta 2 2" xfId="15" xr:uid="{00000000-0005-0000-0000-000017000000}"/>
    <cellStyle name="Valuta 2 3" xfId="27" xr:uid="{F63DEAAA-F762-4669-9B1E-707012C93984}"/>
    <cellStyle name="Valuta 2 3 2" xfId="39" xr:uid="{ACB58F3A-6D44-4E15-8960-352C978BCCB5}"/>
    <cellStyle name="Valuta 3" xfId="18" xr:uid="{00000000-0005-0000-0000-000018000000}"/>
    <cellStyle name="Valuta 3 2" xfId="21" xr:uid="{00000000-0005-0000-0000-000019000000}"/>
    <cellStyle name="Valuta 4" xfId="38" xr:uid="{0559654C-6431-442A-85B4-908CACB265CA}"/>
  </cellStyles>
  <dxfs count="15">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D8E4BC"/>
      <color rgb="FFBFF3D8"/>
      <color rgb="FF209F82"/>
      <color rgb="FFFF0000"/>
      <color rgb="FF007B5F"/>
      <color rgb="FFE3F9F4"/>
      <color rgb="FF76E4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Claire Verberck" id="{F534870C-220B-4C8D-BFBC-F46079CF5684}" userId="S::claire.verberck@antwerpen.be::80749ca4-5c52-4589-a94b-459a89c3cb33"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5" dT="2025-07-09T08:09:16.64" personId="{F534870C-220B-4C8D-BFBC-F46079CF5684}" id="{B63CE5B1-1A56-4BBC-BA3C-A34D4FD395D2}">
    <text>Als je maar één prijs krijgt, moet je deze invullen bij isolatie, maar er gebeurd een overschatting.</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belfius.be/common/NL/multimedia/MMDownloadableFile/Business/Financing/MMI%20krediet%20VME.pdf" TargetMode="External"/><Relationship Id="rId7" Type="http://schemas.openxmlformats.org/officeDocument/2006/relationships/hyperlink" Target="https://atradius.be/nl_BE/mede-eigendom" TargetMode="External"/><Relationship Id="rId2" Type="http://schemas.openxmlformats.org/officeDocument/2006/relationships/hyperlink" Target="https://www.elantis.be/nl/mede-eigendomskrediet/" TargetMode="External"/><Relationship Id="rId1" Type="http://schemas.openxmlformats.org/officeDocument/2006/relationships/hyperlink" Target="https://www.kbc.be/ondernemen/nl/product/kredieten/renovatiekrediet-voor-vme.html" TargetMode="External"/><Relationship Id="rId6" Type="http://schemas.openxmlformats.org/officeDocument/2006/relationships/hyperlink" Target="https://www.bnpparibasfortis.be/nl/public/ondernemers/dagelijks-bankieren/vereniging-van-mede-eigenaars" TargetMode="External"/><Relationship Id="rId5" Type="http://schemas.openxmlformats.org/officeDocument/2006/relationships/hyperlink" Target="https://www.triodos.be/nl/hypothecaire-lening" TargetMode="External"/><Relationship Id="rId4" Type="http://schemas.openxmlformats.org/officeDocument/2006/relationships/hyperlink" Target="https://www.maesgroup.be/vme-krediet-voor-mede-eigendom/"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s://www.belfius.be/common/NL/multimedia/MMDownloadableFile/Business/Financing/MMI%20krediet%20VME.pdf" TargetMode="External"/><Relationship Id="rId7" Type="http://schemas.openxmlformats.org/officeDocument/2006/relationships/hyperlink" Target="https://atradius.be/nl_BE/mede-eigendom" TargetMode="External"/><Relationship Id="rId2" Type="http://schemas.openxmlformats.org/officeDocument/2006/relationships/hyperlink" Target="https://www.elantis.be/nl/mede-eigendomskrediet/" TargetMode="External"/><Relationship Id="rId1" Type="http://schemas.openxmlformats.org/officeDocument/2006/relationships/hyperlink" Target="https://www.kbc.be/ondernemen/nl/product/kredieten/renovatiekrediet-voor-vme.html" TargetMode="External"/><Relationship Id="rId6" Type="http://schemas.openxmlformats.org/officeDocument/2006/relationships/hyperlink" Target="https://www.bnpparibasfortis.be/nl/public/ondernemers/dagelijks-bankieren/vereniging-van-mede-eigenaars" TargetMode="External"/><Relationship Id="rId5" Type="http://schemas.openxmlformats.org/officeDocument/2006/relationships/hyperlink" Target="https://www.triodos.be/nl/hypothecaire-lening" TargetMode="External"/><Relationship Id="rId4" Type="http://schemas.openxmlformats.org/officeDocument/2006/relationships/hyperlink" Target="https://www.maesgroup.be/vme-krediet-voor-mede-eigend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EE443-22A9-40EB-BE13-9924E5F7CF21}">
  <sheetPr>
    <tabColor theme="5"/>
  </sheetPr>
  <dimension ref="A1:A31"/>
  <sheetViews>
    <sheetView tabSelected="1" topLeftCell="A16" zoomScaleNormal="100" workbookViewId="0">
      <selection activeCell="A36" sqref="A36"/>
    </sheetView>
  </sheetViews>
  <sheetFormatPr defaultColWidth="9.140625" defaultRowHeight="15" x14ac:dyDescent="0.25"/>
  <cols>
    <col min="1" max="1" width="146" style="167" customWidth="1"/>
    <col min="2" max="16384" width="9.140625" style="4"/>
  </cols>
  <sheetData>
    <row r="1" spans="1:1" s="171" customFormat="1" ht="21" x14ac:dyDescent="0.35">
      <c r="A1" s="154" t="s">
        <v>210</v>
      </c>
    </row>
    <row r="3" spans="1:1" ht="30" x14ac:dyDescent="0.25">
      <c r="A3" s="167" t="s">
        <v>0</v>
      </c>
    </row>
    <row r="4" spans="1:1" ht="135" x14ac:dyDescent="0.25">
      <c r="A4" s="168" t="s">
        <v>1</v>
      </c>
    </row>
    <row r="5" spans="1:1" x14ac:dyDescent="0.25">
      <c r="A5" s="155" t="s">
        <v>2</v>
      </c>
    </row>
    <row r="6" spans="1:1" ht="60" x14ac:dyDescent="0.25">
      <c r="A6" s="156" t="s">
        <v>202</v>
      </c>
    </row>
    <row r="7" spans="1:1" ht="135" x14ac:dyDescent="0.25">
      <c r="A7" s="156" t="s">
        <v>207</v>
      </c>
    </row>
    <row r="8" spans="1:1" x14ac:dyDescent="0.25">
      <c r="A8" s="155" t="s">
        <v>199</v>
      </c>
    </row>
    <row r="9" spans="1:1" ht="75" x14ac:dyDescent="0.25">
      <c r="A9" s="156" t="s">
        <v>200</v>
      </c>
    </row>
    <row r="10" spans="1:1" ht="300" x14ac:dyDescent="0.25">
      <c r="A10" s="169" t="s">
        <v>211</v>
      </c>
    </row>
    <row r="11" spans="1:1" x14ac:dyDescent="0.25">
      <c r="A11" s="155" t="s">
        <v>3</v>
      </c>
    </row>
    <row r="12" spans="1:1" ht="75" x14ac:dyDescent="0.25">
      <c r="A12" s="156" t="s">
        <v>206</v>
      </c>
    </row>
    <row r="13" spans="1:1" ht="210" x14ac:dyDescent="0.25">
      <c r="A13" s="169" t="s">
        <v>208</v>
      </c>
    </row>
    <row r="14" spans="1:1" x14ac:dyDescent="0.25">
      <c r="A14" s="158" t="s">
        <v>195</v>
      </c>
    </row>
    <row r="15" spans="1:1" ht="195" x14ac:dyDescent="0.25">
      <c r="A15" s="169" t="s">
        <v>213</v>
      </c>
    </row>
    <row r="16" spans="1:1" ht="135" x14ac:dyDescent="0.25">
      <c r="A16" s="156" t="s">
        <v>209</v>
      </c>
    </row>
    <row r="17" spans="1:1" x14ac:dyDescent="0.25">
      <c r="A17" s="158" t="s">
        <v>196</v>
      </c>
    </row>
    <row r="18" spans="1:1" ht="60" x14ac:dyDescent="0.25">
      <c r="A18" s="157" t="s">
        <v>4</v>
      </c>
    </row>
    <row r="19" spans="1:1" x14ac:dyDescent="0.25">
      <c r="A19" s="158" t="s">
        <v>197</v>
      </c>
    </row>
    <row r="20" spans="1:1" ht="60" x14ac:dyDescent="0.25">
      <c r="A20" s="170" t="s">
        <v>5</v>
      </c>
    </row>
    <row r="21" spans="1:1" x14ac:dyDescent="0.25">
      <c r="A21" s="158" t="s">
        <v>198</v>
      </c>
    </row>
    <row r="22" spans="1:1" ht="60" x14ac:dyDescent="0.25">
      <c r="A22" s="170" t="s">
        <v>6</v>
      </c>
    </row>
    <row r="27" spans="1:1" ht="15.75" thickBot="1" x14ac:dyDescent="0.3"/>
    <row r="28" spans="1:1" ht="76.5" thickTop="1" thickBot="1" x14ac:dyDescent="0.3">
      <c r="A28" s="172" t="s">
        <v>7</v>
      </c>
    </row>
    <row r="29" spans="1:1" ht="15.75" thickTop="1" x14ac:dyDescent="0.25"/>
    <row r="30" spans="1:1" x14ac:dyDescent="0.25">
      <c r="A30" s="167" t="s">
        <v>214</v>
      </c>
    </row>
    <row r="31" spans="1:1" x14ac:dyDescent="0.25">
      <c r="A31" s="519" t="s">
        <v>212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249977111117893"/>
  </sheetPr>
  <dimension ref="A1:M85"/>
  <sheetViews>
    <sheetView workbookViewId="0">
      <selection activeCell="J26" sqref="J26"/>
    </sheetView>
  </sheetViews>
  <sheetFormatPr defaultColWidth="9.140625" defaultRowHeight="12.75" x14ac:dyDescent="0.2"/>
  <cols>
    <col min="1" max="1" width="1.42578125" style="188" customWidth="1"/>
    <col min="2" max="2" width="42.7109375" style="166" customWidth="1"/>
    <col min="3" max="6" width="32.85546875" style="166" customWidth="1"/>
    <col min="7" max="16384" width="9.140625" style="166"/>
  </cols>
  <sheetData>
    <row r="1" spans="1:13" ht="7.5" customHeight="1" thickBot="1" x14ac:dyDescent="0.25"/>
    <row r="2" spans="1:13" s="195" customFormat="1" ht="16.5" thickBot="1" x14ac:dyDescent="0.3">
      <c r="A2" s="239"/>
      <c r="B2" s="453" t="s">
        <v>203</v>
      </c>
      <c r="C2" s="454"/>
      <c r="D2" s="454"/>
      <c r="E2" s="454"/>
      <c r="F2" s="455"/>
      <c r="M2" s="240"/>
    </row>
    <row r="3" spans="1:13" ht="13.5" thickBot="1" x14ac:dyDescent="0.25">
      <c r="A3" s="206"/>
      <c r="B3" s="247"/>
      <c r="C3" s="247" t="s">
        <v>8</v>
      </c>
      <c r="D3" s="248" t="s">
        <v>9</v>
      </c>
      <c r="E3" s="248" t="s">
        <v>10</v>
      </c>
    </row>
    <row r="4" spans="1:13" x14ac:dyDescent="0.2">
      <c r="A4" s="206"/>
      <c r="B4" s="234" t="s">
        <v>11</v>
      </c>
      <c r="C4" s="249">
        <f>SUMIF(B11:B30,"Wooneenheid",E11:E30)</f>
        <v>10</v>
      </c>
      <c r="D4" s="235">
        <f>SUMIF(B11:B30,B4,F11:F30)</f>
        <v>960</v>
      </c>
      <c r="E4" s="235" cm="1">
        <f t="array" ref="E4">INDEX(D11:D30, MATCH(MAX((B11:B30="Wooneenheid")*(E11:E30)), (B11:B30="Wooneenheid")*(E11:E30), 0))</f>
        <v>100</v>
      </c>
    </row>
    <row r="5" spans="1:13" ht="15.75" customHeight="1" thickBot="1" x14ac:dyDescent="0.25">
      <c r="A5" s="206"/>
      <c r="B5" s="236" t="s">
        <v>12</v>
      </c>
      <c r="C5" s="237">
        <f>SUMIF(B11:B30,"Geen wooneenheid",E11:E30)</f>
        <v>5</v>
      </c>
      <c r="D5" s="238">
        <f>SUMIF(B11:B30,B5,F11:F30)</f>
        <v>40</v>
      </c>
      <c r="E5" s="238" cm="1">
        <f t="array" ref="E5">INDEX(D11:D30,MATCH(MAX(IF(B11:B30="Geen wooneenheid",E11:E30,0)),E11:E30,0))</f>
        <v>8</v>
      </c>
    </row>
    <row r="6" spans="1:13" ht="20.25" customHeight="1" thickBot="1" x14ac:dyDescent="0.25">
      <c r="A6" s="206"/>
      <c r="B6" s="256" t="s">
        <v>13</v>
      </c>
      <c r="C6" s="245">
        <f>SUM(C4:C5)</f>
        <v>15</v>
      </c>
      <c r="D6" s="246">
        <f>SUM(F11:F30)</f>
        <v>1000</v>
      </c>
    </row>
    <row r="7" spans="1:13" x14ac:dyDescent="0.2">
      <c r="A7" s="199"/>
      <c r="E7" s="215"/>
    </row>
    <row r="8" spans="1:13" ht="13.5" thickBot="1" x14ac:dyDescent="0.25">
      <c r="A8" s="199"/>
    </row>
    <row r="9" spans="1:13" s="195" customFormat="1" ht="16.5" thickBot="1" x14ac:dyDescent="0.3">
      <c r="A9" s="239"/>
      <c r="B9" s="453" t="s">
        <v>204</v>
      </c>
      <c r="C9" s="454"/>
      <c r="D9" s="454"/>
      <c r="E9" s="454"/>
      <c r="F9" s="455"/>
      <c r="M9" s="240"/>
    </row>
    <row r="10" spans="1:13" ht="13.5" thickBot="1" x14ac:dyDescent="0.25">
      <c r="A10" s="199"/>
      <c r="B10" s="220" t="s">
        <v>14</v>
      </c>
      <c r="C10" s="221" t="s">
        <v>15</v>
      </c>
      <c r="D10" s="221" t="s">
        <v>16</v>
      </c>
      <c r="E10" s="200" t="s">
        <v>17</v>
      </c>
      <c r="F10" s="201" t="s">
        <v>18</v>
      </c>
    </row>
    <row r="11" spans="1:13" x14ac:dyDescent="0.2">
      <c r="A11" s="199"/>
      <c r="B11" s="222" t="s">
        <v>12</v>
      </c>
      <c r="C11" s="223" t="s">
        <v>19</v>
      </c>
      <c r="D11" s="396">
        <v>8</v>
      </c>
      <c r="E11" s="202">
        <v>5</v>
      </c>
      <c r="F11" s="203">
        <f t="shared" ref="F11:F19" si="0">E11*D11</f>
        <v>40</v>
      </c>
      <c r="M11" s="219"/>
    </row>
    <row r="12" spans="1:13" x14ac:dyDescent="0.2">
      <c r="A12" s="199"/>
      <c r="B12" s="224" t="s">
        <v>11</v>
      </c>
      <c r="C12" s="225" t="s">
        <v>20</v>
      </c>
      <c r="D12" s="209">
        <v>60</v>
      </c>
      <c r="E12" s="204">
        <v>2</v>
      </c>
      <c r="F12" s="205">
        <f t="shared" si="0"/>
        <v>120</v>
      </c>
      <c r="M12" s="219"/>
    </row>
    <row r="13" spans="1:13" x14ac:dyDescent="0.2">
      <c r="A13" s="206"/>
      <c r="B13" s="224" t="s">
        <v>11</v>
      </c>
      <c r="C13" s="225" t="s">
        <v>21</v>
      </c>
      <c r="D13" s="209">
        <v>100</v>
      </c>
      <c r="E13" s="204">
        <v>6</v>
      </c>
      <c r="F13" s="205">
        <f t="shared" si="0"/>
        <v>600</v>
      </c>
      <c r="M13" s="219"/>
    </row>
    <row r="14" spans="1:13" x14ac:dyDescent="0.2">
      <c r="A14" s="199"/>
      <c r="B14" s="224" t="s">
        <v>11</v>
      </c>
      <c r="C14" s="227" t="s">
        <v>22</v>
      </c>
      <c r="D14" s="207">
        <v>120</v>
      </c>
      <c r="E14" s="208">
        <v>2</v>
      </c>
      <c r="F14" s="205">
        <f t="shared" si="0"/>
        <v>240</v>
      </c>
      <c r="M14" s="219"/>
    </row>
    <row r="15" spans="1:13" x14ac:dyDescent="0.2">
      <c r="A15" s="199"/>
      <c r="B15" s="224"/>
      <c r="C15" s="227"/>
      <c r="D15" s="207"/>
      <c r="E15" s="208"/>
      <c r="F15" s="205">
        <f t="shared" si="0"/>
        <v>0</v>
      </c>
    </row>
    <row r="16" spans="1:13" x14ac:dyDescent="0.2">
      <c r="A16" s="199"/>
      <c r="B16" s="224"/>
      <c r="C16" s="227"/>
      <c r="D16" s="207"/>
      <c r="E16" s="208"/>
      <c r="F16" s="205">
        <f t="shared" si="0"/>
        <v>0</v>
      </c>
    </row>
    <row r="17" spans="1:6" x14ac:dyDescent="0.2">
      <c r="A17" s="199"/>
      <c r="B17" s="224"/>
      <c r="C17" s="227"/>
      <c r="D17" s="207"/>
      <c r="E17" s="208"/>
      <c r="F17" s="205">
        <f t="shared" si="0"/>
        <v>0</v>
      </c>
    </row>
    <row r="18" spans="1:6" x14ac:dyDescent="0.2">
      <c r="A18" s="199"/>
      <c r="B18" s="224"/>
      <c r="C18" s="227"/>
      <c r="D18" s="207"/>
      <c r="E18" s="208"/>
      <c r="F18" s="205">
        <f t="shared" si="0"/>
        <v>0</v>
      </c>
    </row>
    <row r="19" spans="1:6" x14ac:dyDescent="0.2">
      <c r="A19" s="199"/>
      <c r="B19" s="224"/>
      <c r="C19" s="227"/>
      <c r="D19" s="207"/>
      <c r="E19" s="208"/>
      <c r="F19" s="205">
        <f t="shared" si="0"/>
        <v>0</v>
      </c>
    </row>
    <row r="20" spans="1:6" x14ac:dyDescent="0.2">
      <c r="A20" s="199"/>
      <c r="B20" s="224"/>
      <c r="C20" s="227"/>
      <c r="D20" s="207"/>
      <c r="E20" s="208"/>
      <c r="F20" s="205">
        <f t="shared" ref="F20:F26" si="1">E20*D20</f>
        <v>0</v>
      </c>
    </row>
    <row r="21" spans="1:6" x14ac:dyDescent="0.2">
      <c r="A21" s="199"/>
      <c r="B21" s="224"/>
      <c r="C21" s="227"/>
      <c r="D21" s="207"/>
      <c r="E21" s="208"/>
      <c r="F21" s="205">
        <f t="shared" si="1"/>
        <v>0</v>
      </c>
    </row>
    <row r="22" spans="1:6" x14ac:dyDescent="0.2">
      <c r="A22" s="199"/>
      <c r="B22" s="224"/>
      <c r="C22" s="227"/>
      <c r="D22" s="207"/>
      <c r="E22" s="208"/>
      <c r="F22" s="205">
        <f t="shared" si="1"/>
        <v>0</v>
      </c>
    </row>
    <row r="23" spans="1:6" x14ac:dyDescent="0.2">
      <c r="A23" s="199"/>
      <c r="B23" s="224"/>
      <c r="C23" s="227"/>
      <c r="D23" s="207"/>
      <c r="E23" s="208"/>
      <c r="F23" s="205">
        <f t="shared" si="1"/>
        <v>0</v>
      </c>
    </row>
    <row r="24" spans="1:6" x14ac:dyDescent="0.2">
      <c r="A24" s="199"/>
      <c r="B24" s="224"/>
      <c r="C24" s="227"/>
      <c r="D24" s="209"/>
      <c r="E24" s="208"/>
      <c r="F24" s="205">
        <f t="shared" si="1"/>
        <v>0</v>
      </c>
    </row>
    <row r="25" spans="1:6" x14ac:dyDescent="0.2">
      <c r="A25" s="199"/>
      <c r="B25" s="224"/>
      <c r="C25" s="227"/>
      <c r="D25" s="207"/>
      <c r="E25" s="208"/>
      <c r="F25" s="205">
        <f t="shared" si="1"/>
        <v>0</v>
      </c>
    </row>
    <row r="26" spans="1:6" x14ac:dyDescent="0.2">
      <c r="A26" s="210"/>
      <c r="B26" s="224"/>
      <c r="C26" s="227"/>
      <c r="D26" s="207"/>
      <c r="E26" s="208"/>
      <c r="F26" s="205">
        <f t="shared" si="1"/>
        <v>0</v>
      </c>
    </row>
    <row r="27" spans="1:6" x14ac:dyDescent="0.2">
      <c r="A27" s="199"/>
      <c r="B27" s="224"/>
      <c r="C27" s="227"/>
      <c r="D27" s="209"/>
      <c r="E27" s="208"/>
      <c r="F27" s="205">
        <f>E27*D27</f>
        <v>0</v>
      </c>
    </row>
    <row r="28" spans="1:6" x14ac:dyDescent="0.2">
      <c r="A28" s="199"/>
      <c r="B28" s="224"/>
      <c r="C28" s="227"/>
      <c r="D28" s="207"/>
      <c r="E28" s="208"/>
      <c r="F28" s="205">
        <f>E28*D28</f>
        <v>0</v>
      </c>
    </row>
    <row r="29" spans="1:6" x14ac:dyDescent="0.2">
      <c r="A29" s="199"/>
      <c r="B29" s="224"/>
      <c r="C29" s="228"/>
      <c r="D29" s="226"/>
      <c r="E29" s="204"/>
      <c r="F29" s="205">
        <f>E29*D29</f>
        <v>0</v>
      </c>
    </row>
    <row r="30" spans="1:6" ht="13.5" thickBot="1" x14ac:dyDescent="0.25">
      <c r="A30" s="199"/>
      <c r="B30" s="229"/>
      <c r="C30" s="230"/>
      <c r="D30" s="231"/>
      <c r="E30" s="211"/>
      <c r="F30" s="212">
        <f>E30*D30</f>
        <v>0</v>
      </c>
    </row>
    <row r="31" spans="1:6" x14ac:dyDescent="0.2">
      <c r="A31" s="232"/>
      <c r="B31" s="232"/>
      <c r="C31" s="232"/>
      <c r="D31" s="233"/>
      <c r="E31" s="213"/>
      <c r="F31" s="214"/>
    </row>
    <row r="39" spans="1:2" x14ac:dyDescent="0.2">
      <c r="A39" s="199"/>
    </row>
    <row r="40" spans="1:2" x14ac:dyDescent="0.2">
      <c r="A40" s="199"/>
    </row>
    <row r="41" spans="1:2" x14ac:dyDescent="0.2">
      <c r="A41" s="199"/>
    </row>
    <row r="42" spans="1:2" x14ac:dyDescent="0.2">
      <c r="A42" s="199"/>
    </row>
    <row r="43" spans="1:2" x14ac:dyDescent="0.2">
      <c r="A43" s="199"/>
    </row>
    <row r="45" spans="1:2" x14ac:dyDescent="0.2">
      <c r="A45" s="199"/>
      <c r="B45" s="216"/>
    </row>
    <row r="46" spans="1:2" x14ac:dyDescent="0.2">
      <c r="A46" s="199"/>
      <c r="B46" s="216"/>
    </row>
    <row r="47" spans="1:2" x14ac:dyDescent="0.2">
      <c r="B47" s="216"/>
    </row>
    <row r="48" spans="1:2" x14ac:dyDescent="0.2">
      <c r="B48" s="216"/>
    </row>
    <row r="49" spans="1:2" x14ac:dyDescent="0.2">
      <c r="B49" s="216"/>
    </row>
    <row r="50" spans="1:2" x14ac:dyDescent="0.2">
      <c r="B50" s="216"/>
    </row>
    <row r="51" spans="1:2" x14ac:dyDescent="0.2">
      <c r="B51" s="216"/>
    </row>
    <row r="52" spans="1:2" x14ac:dyDescent="0.2">
      <c r="B52" s="216"/>
    </row>
    <row r="53" spans="1:2" x14ac:dyDescent="0.2">
      <c r="B53" s="216"/>
    </row>
    <row r="54" spans="1:2" x14ac:dyDescent="0.2">
      <c r="B54" s="216"/>
    </row>
    <row r="55" spans="1:2" x14ac:dyDescent="0.2">
      <c r="B55" s="216"/>
    </row>
    <row r="56" spans="1:2" x14ac:dyDescent="0.2">
      <c r="A56" s="199"/>
      <c r="B56" s="216"/>
    </row>
    <row r="57" spans="1:2" x14ac:dyDescent="0.2">
      <c r="A57" s="199"/>
      <c r="B57" s="216"/>
    </row>
    <row r="58" spans="1:2" x14ac:dyDescent="0.2">
      <c r="B58" s="216"/>
    </row>
    <row r="59" spans="1:2" x14ac:dyDescent="0.2">
      <c r="B59" s="217"/>
    </row>
    <row r="60" spans="1:2" x14ac:dyDescent="0.2">
      <c r="B60" s="216"/>
    </row>
    <row r="61" spans="1:2" x14ac:dyDescent="0.2">
      <c r="B61" s="218"/>
    </row>
    <row r="62" spans="1:2" x14ac:dyDescent="0.2">
      <c r="B62" s="218"/>
    </row>
    <row r="74" spans="1:1" x14ac:dyDescent="0.2">
      <c r="A74" s="199"/>
    </row>
    <row r="75" spans="1:1" x14ac:dyDescent="0.2">
      <c r="A75" s="199"/>
    </row>
    <row r="76" spans="1:1" x14ac:dyDescent="0.2">
      <c r="A76" s="199"/>
    </row>
    <row r="85" spans="1:1" x14ac:dyDescent="0.2">
      <c r="A85" s="199"/>
    </row>
  </sheetData>
  <autoFilter ref="B10:F30" xr:uid="{00000000-0001-0000-0000-000000000000}">
    <sortState xmlns:xlrd2="http://schemas.microsoft.com/office/spreadsheetml/2017/richdata2" ref="B11:F30">
      <sortCondition ref="D10:D30"/>
    </sortState>
  </autoFilter>
  <sortState xmlns:xlrd2="http://schemas.microsoft.com/office/spreadsheetml/2017/richdata2" ref="B12:F24">
    <sortCondition ref="B11:B24"/>
  </sortState>
  <mergeCells count="2">
    <mergeCell ref="B9:F9"/>
    <mergeCell ref="B2:F2"/>
  </mergeCells>
  <phoneticPr fontId="29" type="noConversion"/>
  <dataValidations disablePrompts="1" count="2">
    <dataValidation type="list" allowBlank="1" showInputMessage="1" showErrorMessage="1" sqref="B3" xr:uid="{B1613250-FC7A-44CF-A4E0-547244483BDB}">
      <formula1>$B$57:$B$59</formula1>
    </dataValidation>
    <dataValidation type="list" allowBlank="1" showInputMessage="1" showErrorMessage="1" sqref="B11:B30" xr:uid="{D0CCCE9A-AD04-4B9B-8E6B-629C22C67FB8}">
      <formula1>"Wooneenheid, Geen wooneenheid"</formula1>
    </dataValidation>
  </dataValidations>
  <pageMargins left="0.7" right="0.7" top="0.75" bottom="0.75" header="0.3" footer="0.3"/>
  <pageSetup paperSize="9" scale="67" orientation="landscape" r:id="rId1"/>
  <rowBreaks count="1" manualBreakCount="1">
    <brk id="40" max="16383"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462D1-A60B-4605-A408-7D7117025068}">
  <sheetPr>
    <tabColor theme="4" tint="-0.249977111117893"/>
  </sheetPr>
  <dimension ref="A1:M45"/>
  <sheetViews>
    <sheetView zoomScale="96" zoomScaleNormal="96" workbookViewId="0">
      <selection activeCell="I33" sqref="I33"/>
    </sheetView>
  </sheetViews>
  <sheetFormatPr defaultColWidth="9.140625" defaultRowHeight="12.75" x14ac:dyDescent="0.2"/>
  <cols>
    <col min="1" max="1" width="1.42578125" style="166" customWidth="1"/>
    <col min="2" max="2" width="61" style="409" customWidth="1"/>
    <col min="3" max="3" width="39.7109375" style="409" customWidth="1"/>
    <col min="4" max="4" width="13.140625" style="409" customWidth="1"/>
    <col min="5" max="5" width="13.140625" style="414" customWidth="1"/>
    <col min="6" max="6" width="26.140625" style="196" customWidth="1"/>
    <col min="7" max="12" width="13.140625" style="409" customWidth="1"/>
    <col min="13" max="16384" width="9.140625" style="166"/>
  </cols>
  <sheetData>
    <row r="1" spans="1:13" ht="7.5" customHeight="1" thickBot="1" x14ac:dyDescent="0.25">
      <c r="B1" s="166"/>
      <c r="C1" s="166"/>
      <c r="D1" s="166"/>
      <c r="E1" s="186"/>
      <c r="F1" s="187"/>
      <c r="G1" s="166"/>
      <c r="H1" s="166"/>
      <c r="I1" s="166"/>
      <c r="J1" s="166"/>
      <c r="K1" s="166"/>
      <c r="L1" s="166"/>
    </row>
    <row r="2" spans="1:13" s="195" customFormat="1" ht="16.5" thickBot="1" x14ac:dyDescent="0.3">
      <c r="A2" s="239"/>
      <c r="B2" s="241" t="s">
        <v>23</v>
      </c>
      <c r="C2" s="242"/>
      <c r="D2" s="242"/>
      <c r="E2" s="242"/>
      <c r="F2" s="242"/>
      <c r="G2" s="242"/>
      <c r="H2" s="242"/>
      <c r="I2" s="242"/>
      <c r="J2" s="242"/>
      <c r="K2" s="242"/>
      <c r="L2" s="243"/>
      <c r="M2" s="240"/>
    </row>
    <row r="3" spans="1:13" s="188" customFormat="1" ht="13.5" thickBot="1" x14ac:dyDescent="0.25">
      <c r="B3" s="458" t="s">
        <v>24</v>
      </c>
      <c r="C3" s="456" t="s">
        <v>25</v>
      </c>
      <c r="D3" s="460" t="s">
        <v>26</v>
      </c>
      <c r="E3" s="461"/>
      <c r="F3" s="462"/>
      <c r="G3" s="461" t="s">
        <v>27</v>
      </c>
      <c r="H3" s="461"/>
      <c r="I3" s="460" t="s">
        <v>28</v>
      </c>
      <c r="J3" s="462"/>
      <c r="K3" s="460" t="s">
        <v>29</v>
      </c>
      <c r="L3" s="462"/>
    </row>
    <row r="4" spans="1:13" s="188" customFormat="1" ht="13.5" thickBot="1" x14ac:dyDescent="0.25">
      <c r="B4" s="459"/>
      <c r="C4" s="457"/>
      <c r="D4" s="407" t="s">
        <v>30</v>
      </c>
      <c r="E4" s="432" t="s">
        <v>31</v>
      </c>
      <c r="F4" s="439" t="s">
        <v>32</v>
      </c>
      <c r="G4" s="434" t="s">
        <v>30</v>
      </c>
      <c r="H4" s="443" t="s">
        <v>32</v>
      </c>
      <c r="I4" s="433" t="s">
        <v>30</v>
      </c>
      <c r="J4" s="407" t="s">
        <v>32</v>
      </c>
      <c r="K4" s="407" t="s">
        <v>33</v>
      </c>
      <c r="L4" s="435" t="s">
        <v>34</v>
      </c>
    </row>
    <row r="5" spans="1:13" x14ac:dyDescent="0.2">
      <c r="B5" s="253" t="s">
        <v>35</v>
      </c>
      <c r="C5" s="250">
        <f>SUMIF(G14:G1048564,"x",E14:E1048564)</f>
        <v>63200</v>
      </c>
      <c r="D5" s="417" cm="1">
        <f t="array" ref="D5">SUMPRODUCT(($F$14:$F$500=Berekening!C$5)*($G$14:$G$500="x")*($D$14:$D$500))</f>
        <v>20</v>
      </c>
      <c r="E5" s="437" cm="1">
        <f t="array" ref="E5">SUMPRODUCT(($F$14:$F$500=Berekening!C$6)*($G$14:$G$500="x")*($D$14:$D$500))</f>
        <v>20</v>
      </c>
      <c r="F5" s="440" cm="1">
        <f t="array" ref="F5">SUMPRODUCT(($F$14:$F$500=Berekening!C7)*($G$14:$G$500="x")*($D$14:$D$500))</f>
        <v>20</v>
      </c>
      <c r="G5" s="420" cm="1">
        <f t="array" ref="G5">SUMPRODUCT(($F$14:$F$500=Berekening!C8)*($G$14:$G$500="x")*($D$14:$D$500))</f>
        <v>0</v>
      </c>
      <c r="H5" s="421" cm="1">
        <f t="array" ref="H5">SUMPRODUCT(($F$14:$F$500=Berekening!C9)*($G$14:$G$500="x")*($D$14:$D$500))</f>
        <v>0</v>
      </c>
      <c r="I5" s="418" cm="1">
        <f t="array" ref="I5">SUMPRODUCT(($F$14:$F$500=Berekening!C10)*($G$14:$G$500="x")*($D$14:$D$500))</f>
        <v>0</v>
      </c>
      <c r="J5" s="419" cm="1">
        <f t="array" ref="J5">SUMPRODUCT(($F$14:$F$500=Berekening!C11)*($G$14:$G$500="x")*($D$14:$D$500))</f>
        <v>0</v>
      </c>
      <c r="K5" s="420" cm="1">
        <f t="array" ref="K5">SUMPRODUCT(($F$14:$F$500=Berekening!C12)*($G$14:$G$500="x")*($D$14:$D$500))</f>
        <v>0</v>
      </c>
      <c r="L5" s="421" cm="1">
        <f t="array" ref="L5">SUMPRODUCT(($F$14:$F$500=Berekening!C13)*($G$14:$G$500="x")*($D$14:$D$500))</f>
        <v>0</v>
      </c>
    </row>
    <row r="6" spans="1:13" x14ac:dyDescent="0.2">
      <c r="B6" s="254" t="s">
        <v>36</v>
      </c>
      <c r="C6" s="251">
        <f>SUMIF(H14:H1048564,"x",E14:E1048564)</f>
        <v>82000</v>
      </c>
      <c r="D6" s="422" cm="1">
        <f t="array" ref="D6">SUMPRODUCT((F$14:F$500=Berekening!C$5)*(H$14:H$500="x")*(D$14:D$500))</f>
        <v>0</v>
      </c>
      <c r="E6" s="436" cm="1">
        <f t="array" ref="E6">SUMPRODUCT(($F$14:$F$500=Berekening!C$6)*($H$14:$H$500="x")*($D$14:$D$500))</f>
        <v>0</v>
      </c>
      <c r="F6" s="441" cm="1">
        <f t="array" ref="F6">SUMPRODUCT(($F$14:$F$500=Berekening!C7)*($H$14:$H$500="x")*($D$14:$D$500))</f>
        <v>0</v>
      </c>
      <c r="G6" s="425" cm="1">
        <f t="array" ref="G6">SUMPRODUCT(($F$14:$F$500=Berekening!C8)*($H$14:$H$500="x")*($D$14:$D$500))</f>
        <v>0</v>
      </c>
      <c r="H6" s="426" cm="1">
        <f t="array" ref="H6">SUMPRODUCT(($F$14:$F$500=Berekening!C9)*($H$14:$H$500="x")*($D$14:$D$500))</f>
        <v>0</v>
      </c>
      <c r="I6" s="423" cm="1">
        <f t="array" ref="I6">SUMPRODUCT(($F$14:$F$500=Berekening!C10)*($H$14:$H$500="x")*($D$14:$D$500))</f>
        <v>0</v>
      </c>
      <c r="J6" s="424" cm="1">
        <f t="array" ref="J6">SUMPRODUCT(($F$14:$F$500=Berekening!C11)*($H$14:$H$500="x")*($D$14:$D$500))</f>
        <v>0</v>
      </c>
      <c r="K6" s="425" cm="1">
        <f t="array" ref="K6">SUMPRODUCT(($F$14:$F$500=Berekening!C12)*($H$14:$H$500="x")*($D$14:$D$500))</f>
        <v>12</v>
      </c>
      <c r="L6" s="426" cm="1">
        <f t="array" ref="L6">SUMPRODUCT(($F$14:$F$500=Berekening!C13)*($H$14:$H$500="x")*($D$14:$D$500))</f>
        <v>0</v>
      </c>
    </row>
    <row r="7" spans="1:13" x14ac:dyDescent="0.2">
      <c r="B7" s="254" t="s">
        <v>37</v>
      </c>
      <c r="C7" s="251">
        <f>SUMIF(I14:I1048564,"x",E14:E1048564)</f>
        <v>30200</v>
      </c>
      <c r="D7" s="422" cm="1">
        <f t="array" ref="D7">SUMPRODUCT((F$14:F$500=Berekening!C$5)*(I$14:I$500="x")*(D$14:D$500))</f>
        <v>0</v>
      </c>
      <c r="E7" s="436" cm="1">
        <f t="array" ref="E7">SUMPRODUCT(($F$14:$F$500=Berekening!C$6)*($I$14:$I$500="x")*($D$14:$D$500))</f>
        <v>0</v>
      </c>
      <c r="F7" s="441" cm="1">
        <f t="array" ref="F7">SUMPRODUCT(($F$14:$F$500=Berekening!C7)*($I$14:$I$500="x")*($D$14:$D$500))</f>
        <v>0</v>
      </c>
      <c r="G7" s="425" cm="1">
        <f t="array" ref="G7">SUMPRODUCT(($F$14:$F$500=Berekening!C8)*($I$14:$I$500="x")*($D$14:$D$500))</f>
        <v>0</v>
      </c>
      <c r="H7" s="426" cm="1">
        <f t="array" ref="H7">SUMPRODUCT(($F$14:$F$500=Berekening!C9)*($I$14:$I$500="x")*($D$14:$D$500))</f>
        <v>0</v>
      </c>
      <c r="I7" s="423" cm="1">
        <f t="array" ref="I7">SUMPRODUCT(($F$14:$F$500=Berekening!C10)*($I$14:$I$500="x")*($D$14:$D$500))</f>
        <v>0</v>
      </c>
      <c r="J7" s="424" cm="1">
        <f t="array" ref="J7">SUMPRODUCT(($F$14:$F$500=Berekening!C11)*($I$14:$I$500="x")*($D$14:$D$500))</f>
        <v>0</v>
      </c>
      <c r="K7" s="425" cm="1">
        <f t="array" ref="K7">SUMPRODUCT(($F$14:$F$500=Berekening!C12)*($I$14:$I$500="x")*($D$14:$D$500))</f>
        <v>0</v>
      </c>
      <c r="L7" s="426" cm="1">
        <f t="array" ref="L7">SUMPRODUCT(($F$14:$F$500=Berekening!C13)*($I$14:$I$500="x")*($D$14:$D$500))</f>
        <v>0</v>
      </c>
    </row>
    <row r="8" spans="1:13" x14ac:dyDescent="0.2">
      <c r="B8" s="254" t="s">
        <v>38</v>
      </c>
      <c r="C8" s="251">
        <f>SUMIF(J14:J1048564,"x",E14:E1048564)</f>
        <v>0</v>
      </c>
      <c r="D8" s="422" cm="1">
        <f t="array" ref="D8">SUMPRODUCT((F$14:F$500=Berekening!C$5)*(J$14:J$500="x")*(D$14:D$500))</f>
        <v>0</v>
      </c>
      <c r="E8" s="436" cm="1">
        <f t="array" ref="E8">SUMPRODUCT(($F$14:$F$500=Berekening!C$6)*($J$14:$J$500="x")*($D$14:$D$500))</f>
        <v>0</v>
      </c>
      <c r="F8" s="441" cm="1">
        <f t="array" ref="F8">SUMPRODUCT(($F$14:$F$500=Berekening!C7)*($J$14:$J$500="x")*($D$14:$D$500))</f>
        <v>0</v>
      </c>
      <c r="G8" s="425" cm="1">
        <f t="array" ref="G8">SUMPRODUCT(($F$14:$F$500=Berekening!C8)*($J$14:$J$500="x")*($D$14:$D$500))</f>
        <v>0</v>
      </c>
      <c r="H8" s="426" cm="1">
        <f t="array" ref="H8">SUMPRODUCT(($F$14:$F$500=Berekening!C9)*($J$14:$J$500="x")*($D$14:$D$500))</f>
        <v>0</v>
      </c>
      <c r="I8" s="423" cm="1">
        <f t="array" ref="I8">SUMPRODUCT(($F$14:$F$500=Berekening!C10)*($J$14:$J$500="x")*($D$14:$D$500))</f>
        <v>0</v>
      </c>
      <c r="J8" s="424" cm="1">
        <f t="array" ref="J8">SUMPRODUCT(($F$14:$F$500=Berekening!C11)*($J$14:$J$500="x")*($D$14:$D$500))</f>
        <v>0</v>
      </c>
      <c r="K8" s="425" cm="1">
        <f t="array" ref="K8">SUMPRODUCT(($F$14:$F$500=Berekening!C12)*($J$14:$J$500="x")*($D$14:$D$500))</f>
        <v>0</v>
      </c>
      <c r="L8" s="426" cm="1">
        <f t="array" ref="L8">SUMPRODUCT(($F$14:$F$500=Berekening!C13)*($J$14:$J$500="x")*($D$14:$D$500))</f>
        <v>0</v>
      </c>
    </row>
    <row r="9" spans="1:13" x14ac:dyDescent="0.2">
      <c r="B9" s="254" t="s">
        <v>39</v>
      </c>
      <c r="C9" s="251">
        <f>SUMIF(K14:K1048564,"x",E14:E1048564)</f>
        <v>0</v>
      </c>
      <c r="D9" s="422" cm="1">
        <f t="array" ref="D9">SUMPRODUCT((F$14:F$500=Berekening!C$5)*(K$14:K$500="x")*(D$14:D$500))</f>
        <v>0</v>
      </c>
      <c r="E9" s="436" cm="1">
        <f t="array" ref="E9">SUMPRODUCT(($F$14:$F$500=Berekening!C$6)*($K$14:$K$500="x")*($D$14:$D$500))</f>
        <v>0</v>
      </c>
      <c r="F9" s="441" cm="1">
        <f t="array" ref="F9">SUMPRODUCT(($F$14:$F$500=Berekening!C7)*($K$14:$K$500="x")*($D$14:$D$500))</f>
        <v>0</v>
      </c>
      <c r="G9" s="425" cm="1">
        <f t="array" ref="G9">SUMPRODUCT(($F$14:$F$500=Berekening!C8)*($K$14:$K$500="x")*($D$14:$D$500))</f>
        <v>0</v>
      </c>
      <c r="H9" s="426" cm="1">
        <f t="array" ref="H9">SUMPRODUCT(($F$14:$F$500=Berekening!C9)*($K$14:$K$500="x")*($D$14:$D$500))</f>
        <v>0</v>
      </c>
      <c r="I9" s="423" cm="1">
        <f t="array" ref="I9">SUMPRODUCT(($F$14:$F$500=Berekening!C10)*($K$14:$K$500="x")*($D$14:$D$500))</f>
        <v>0</v>
      </c>
      <c r="J9" s="424" cm="1">
        <f t="array" ref="J9">SUMPRODUCT(($F$14:$F$500=Berekening!C11)*($K$14:$K$500="x")*($D$14:$D$500))</f>
        <v>0</v>
      </c>
      <c r="K9" s="425" cm="1">
        <f t="array" ref="K9">SUMPRODUCT(($F$14:$F$500=Berekening!C12)*($K$14:$K$500="x")*($D$14:$D$500))</f>
        <v>0</v>
      </c>
      <c r="L9" s="426" cm="1">
        <f t="array" ref="L9">SUMPRODUCT(($F$14:$F$500=Berekening!C13)*($K$14:$K$500="x")*($D$14:$D$500))</f>
        <v>0</v>
      </c>
    </row>
    <row r="10" spans="1:13" ht="13.5" thickBot="1" x14ac:dyDescent="0.25">
      <c r="B10" s="255" t="s">
        <v>40</v>
      </c>
      <c r="C10" s="252">
        <f>SUMIF(L14:L1048564,"x",E14:E1048564)</f>
        <v>0</v>
      </c>
      <c r="D10" s="427" cm="1">
        <f t="array" ref="D10">SUMPRODUCT((F$14:F$500=Berekening!C$5)*(L$14:L$500="x")*(D$14:D$500))</f>
        <v>0</v>
      </c>
      <c r="E10" s="438" cm="1">
        <f t="array" ref="E10">SUMPRODUCT(($F$14:$F$500=Berekening!C$6)*($L$14:$L$500="x")*($D$14:$D$500))</f>
        <v>0</v>
      </c>
      <c r="F10" s="442" cm="1">
        <f t="array" ref="F10">SUMPRODUCT(($F$14:$F$500=Berekening!C7)*($L$14:$L$500="x")*($D$14:$D$500))</f>
        <v>0</v>
      </c>
      <c r="G10" s="430" cm="1">
        <f t="array" ref="G10">SUMPRODUCT(($F$14:$F$500=Berekening!C8)*($L$14:$L$500="x")*($D$14:$D$500))</f>
        <v>0</v>
      </c>
      <c r="H10" s="431" cm="1">
        <f t="array" ref="H10">SUMPRODUCT(($F$14:$F$500=Berekening!C9)*($L$14:$L$500="x")*($D$14:$D$500))</f>
        <v>0</v>
      </c>
      <c r="I10" s="428" cm="1">
        <f t="array" ref="I10">SUMPRODUCT(($F$14:$F$500=Berekening!C10)*($L$14:$L$500="x")*($D$14:$D$500))</f>
        <v>0</v>
      </c>
      <c r="J10" s="429" cm="1">
        <f t="array" ref="J10">SUMPRODUCT(($F$14:$F$500=Berekening!C11)*($L$14:$L$500="x")*($D$14:$D$500))</f>
        <v>0</v>
      </c>
      <c r="K10" s="430" cm="1">
        <f t="array" ref="K10">SUMPRODUCT(($F$14:$F$500=Berekening!C12)*($L$14:$L$500="x")*($D$14:$D$500))</f>
        <v>0</v>
      </c>
      <c r="L10" s="431" cm="1">
        <f t="array" ref="L10">SUMPRODUCT(($F$14:$F$500=Berekening!C13)*($L$14:$L$500="x")*($D$14:$D$500))</f>
        <v>0</v>
      </c>
    </row>
    <row r="11" spans="1:13" ht="13.5" thickBot="1" x14ac:dyDescent="0.25">
      <c r="B11" s="189"/>
      <c r="C11" s="189"/>
      <c r="D11" s="166"/>
      <c r="E11" s="190"/>
      <c r="F11" s="197"/>
      <c r="G11" s="191"/>
      <c r="H11" s="191"/>
      <c r="I11" s="191"/>
      <c r="J11" s="191"/>
      <c r="K11" s="191"/>
      <c r="L11" s="191"/>
    </row>
    <row r="12" spans="1:13" s="195" customFormat="1" ht="16.5" thickBot="1" x14ac:dyDescent="0.3">
      <c r="A12" s="239"/>
      <c r="B12" s="241" t="s">
        <v>41</v>
      </c>
      <c r="C12" s="242"/>
      <c r="D12" s="242"/>
      <c r="E12" s="242"/>
      <c r="F12" s="242"/>
      <c r="G12" s="242"/>
      <c r="H12" s="242"/>
      <c r="I12" s="242"/>
      <c r="J12" s="242"/>
      <c r="K12" s="242"/>
      <c r="L12" s="243"/>
      <c r="M12" s="240"/>
    </row>
    <row r="13" spans="1:13" ht="13.5" thickBot="1" x14ac:dyDescent="0.25">
      <c r="B13" s="192" t="s">
        <v>42</v>
      </c>
      <c r="C13" s="192" t="s">
        <v>43</v>
      </c>
      <c r="D13" s="193" t="s">
        <v>44</v>
      </c>
      <c r="E13" s="185" t="s">
        <v>45</v>
      </c>
      <c r="F13" s="198" t="s">
        <v>201</v>
      </c>
      <c r="G13" s="193" t="s">
        <v>35</v>
      </c>
      <c r="H13" s="193" t="s">
        <v>36</v>
      </c>
      <c r="I13" s="193" t="s">
        <v>37</v>
      </c>
      <c r="J13" s="193" t="s">
        <v>38</v>
      </c>
      <c r="K13" s="193" t="s">
        <v>39</v>
      </c>
      <c r="L13" s="193" t="s">
        <v>40</v>
      </c>
      <c r="M13" s="194"/>
    </row>
    <row r="14" spans="1:13" x14ac:dyDescent="0.2">
      <c r="B14" s="410" t="s">
        <v>46</v>
      </c>
      <c r="C14" s="410"/>
      <c r="D14" s="411">
        <v>2</v>
      </c>
      <c r="E14" s="412">
        <v>2000</v>
      </c>
      <c r="F14" s="408" t="s">
        <v>47</v>
      </c>
      <c r="G14" s="403"/>
      <c r="H14" s="403"/>
      <c r="I14" s="403"/>
      <c r="J14" s="403"/>
      <c r="K14" s="403"/>
      <c r="L14" s="403"/>
    </row>
    <row r="15" spans="1:13" x14ac:dyDescent="0.2">
      <c r="B15" s="410" t="s">
        <v>49</v>
      </c>
      <c r="C15" s="410" t="s">
        <v>50</v>
      </c>
      <c r="D15" s="411">
        <v>20</v>
      </c>
      <c r="E15" s="412">
        <v>7500</v>
      </c>
      <c r="F15" s="408" t="s">
        <v>51</v>
      </c>
      <c r="G15" s="403" t="s">
        <v>48</v>
      </c>
      <c r="H15" s="403"/>
      <c r="I15" s="403"/>
      <c r="J15" s="403"/>
      <c r="K15" s="403"/>
      <c r="L15" s="403"/>
    </row>
    <row r="16" spans="1:13" x14ac:dyDescent="0.2">
      <c r="B16" s="410" t="s">
        <v>49</v>
      </c>
      <c r="C16" s="410" t="s">
        <v>52</v>
      </c>
      <c r="D16" s="411">
        <v>20</v>
      </c>
      <c r="E16" s="412">
        <v>15000</v>
      </c>
      <c r="F16" s="408" t="s">
        <v>53</v>
      </c>
      <c r="G16" s="403" t="s">
        <v>48</v>
      </c>
      <c r="H16" s="403"/>
      <c r="I16" s="403"/>
      <c r="J16" s="403"/>
      <c r="K16" s="403"/>
      <c r="L16" s="403"/>
    </row>
    <row r="17" spans="2:12" x14ac:dyDescent="0.2">
      <c r="B17" s="410" t="s">
        <v>49</v>
      </c>
      <c r="C17" s="410" t="s">
        <v>54</v>
      </c>
      <c r="D17" s="411">
        <v>20</v>
      </c>
      <c r="E17" s="412">
        <v>3000</v>
      </c>
      <c r="F17" s="408" t="s">
        <v>55</v>
      </c>
      <c r="G17" s="403" t="s">
        <v>48</v>
      </c>
      <c r="H17" s="403"/>
      <c r="I17" s="403"/>
      <c r="J17" s="403"/>
      <c r="K17" s="403"/>
      <c r="L17" s="403"/>
    </row>
    <row r="18" spans="2:12" x14ac:dyDescent="0.2">
      <c r="B18" s="410" t="s">
        <v>56</v>
      </c>
      <c r="C18" s="410"/>
      <c r="D18" s="411"/>
      <c r="E18" s="412">
        <v>5000</v>
      </c>
      <c r="F18" s="408" t="s">
        <v>97</v>
      </c>
      <c r="G18" s="403" t="s">
        <v>48</v>
      </c>
      <c r="H18" s="403"/>
      <c r="I18" s="403" t="s">
        <v>48</v>
      </c>
      <c r="J18" s="403"/>
      <c r="K18" s="403"/>
      <c r="L18" s="403"/>
    </row>
    <row r="19" spans="2:12" x14ac:dyDescent="0.2">
      <c r="B19" s="410" t="s">
        <v>57</v>
      </c>
      <c r="C19" s="410"/>
      <c r="D19" s="411"/>
      <c r="E19" s="412">
        <v>200</v>
      </c>
      <c r="F19" s="408" t="s">
        <v>97</v>
      </c>
      <c r="G19" s="403" t="s">
        <v>48</v>
      </c>
      <c r="H19" s="403"/>
      <c r="I19" s="403" t="s">
        <v>48</v>
      </c>
      <c r="J19" s="403"/>
      <c r="K19" s="403"/>
      <c r="L19" s="403"/>
    </row>
    <row r="20" spans="2:12" x14ac:dyDescent="0.2">
      <c r="B20" s="408" t="s">
        <v>58</v>
      </c>
      <c r="C20" s="408"/>
      <c r="D20" s="403"/>
      <c r="E20" s="413">
        <v>7500</v>
      </c>
      <c r="F20" s="408" t="s">
        <v>59</v>
      </c>
      <c r="G20" s="403" t="s">
        <v>48</v>
      </c>
      <c r="H20" s="403" t="s">
        <v>48</v>
      </c>
      <c r="I20" s="403"/>
      <c r="J20" s="403"/>
      <c r="K20" s="403"/>
      <c r="L20" s="408"/>
    </row>
    <row r="21" spans="2:12" x14ac:dyDescent="0.2">
      <c r="B21" s="410" t="s">
        <v>60</v>
      </c>
      <c r="C21" s="410"/>
      <c r="D21" s="411">
        <v>12</v>
      </c>
      <c r="E21" s="412">
        <v>4500</v>
      </c>
      <c r="F21" s="408" t="s">
        <v>47</v>
      </c>
      <c r="G21" s="403"/>
      <c r="H21" s="403" t="s">
        <v>48</v>
      </c>
      <c r="I21" s="403"/>
      <c r="J21" s="403"/>
      <c r="K21" s="403"/>
      <c r="L21" s="403"/>
    </row>
    <row r="22" spans="2:12" x14ac:dyDescent="0.2">
      <c r="B22" s="410" t="s">
        <v>61</v>
      </c>
      <c r="C22" s="410"/>
      <c r="D22" s="411"/>
      <c r="E22" s="412">
        <v>70000</v>
      </c>
      <c r="F22" s="408" t="s">
        <v>62</v>
      </c>
      <c r="G22" s="403"/>
      <c r="H22" s="403" t="s">
        <v>48</v>
      </c>
      <c r="I22" s="403"/>
      <c r="J22" s="403"/>
      <c r="K22" s="403"/>
      <c r="L22" s="403"/>
    </row>
    <row r="23" spans="2:12" x14ac:dyDescent="0.2">
      <c r="B23" s="408" t="s">
        <v>194</v>
      </c>
      <c r="C23" s="408" t="s">
        <v>205</v>
      </c>
      <c r="D23" s="408"/>
      <c r="E23" s="413">
        <v>25000</v>
      </c>
      <c r="F23" s="408" t="s">
        <v>97</v>
      </c>
      <c r="G23" s="403" t="s">
        <v>48</v>
      </c>
      <c r="H23" s="403"/>
      <c r="I23" s="403" t="s">
        <v>48</v>
      </c>
      <c r="J23" s="403"/>
      <c r="K23" s="403"/>
      <c r="L23" s="408"/>
    </row>
    <row r="24" spans="2:12" x14ac:dyDescent="0.2">
      <c r="F24" s="409"/>
      <c r="G24" s="196"/>
      <c r="H24" s="196"/>
      <c r="I24" s="196"/>
      <c r="J24" s="196"/>
      <c r="K24" s="196"/>
    </row>
    <row r="25" spans="2:12" x14ac:dyDescent="0.2">
      <c r="E25" s="415"/>
      <c r="F25" s="416"/>
      <c r="G25" s="196"/>
      <c r="H25" s="196"/>
      <c r="I25" s="196"/>
      <c r="J25" s="196"/>
      <c r="K25" s="196"/>
    </row>
    <row r="26" spans="2:12" x14ac:dyDescent="0.2">
      <c r="F26" s="409"/>
      <c r="G26" s="196"/>
      <c r="H26" s="196"/>
      <c r="I26" s="196"/>
      <c r="J26" s="196"/>
      <c r="K26" s="196"/>
    </row>
    <row r="27" spans="2:12" x14ac:dyDescent="0.2">
      <c r="F27" s="409"/>
      <c r="G27" s="196"/>
      <c r="H27" s="196"/>
      <c r="I27" s="196"/>
      <c r="J27" s="196"/>
      <c r="K27" s="196"/>
    </row>
    <row r="28" spans="2:12" x14ac:dyDescent="0.2">
      <c r="F28" s="409"/>
      <c r="G28" s="196"/>
      <c r="H28" s="196"/>
      <c r="I28" s="196"/>
      <c r="J28" s="196"/>
      <c r="K28" s="196"/>
    </row>
    <row r="29" spans="2:12" x14ac:dyDescent="0.2">
      <c r="F29" s="409"/>
      <c r="G29" s="196"/>
      <c r="H29" s="196"/>
      <c r="I29" s="196"/>
      <c r="J29" s="196"/>
      <c r="K29" s="196"/>
    </row>
    <row r="30" spans="2:12" x14ac:dyDescent="0.2">
      <c r="F30" s="409"/>
      <c r="G30" s="196"/>
      <c r="H30" s="196"/>
      <c r="I30" s="196"/>
      <c r="J30" s="196"/>
      <c r="K30" s="196"/>
    </row>
    <row r="31" spans="2:12" x14ac:dyDescent="0.2">
      <c r="F31" s="409"/>
      <c r="G31" s="196"/>
      <c r="H31" s="196"/>
      <c r="I31" s="196"/>
      <c r="J31" s="196"/>
      <c r="K31" s="196"/>
    </row>
    <row r="32" spans="2:12" x14ac:dyDescent="0.2">
      <c r="F32" s="409"/>
      <c r="G32" s="196"/>
      <c r="H32" s="196"/>
      <c r="I32" s="196"/>
      <c r="J32" s="196"/>
      <c r="K32" s="196"/>
    </row>
    <row r="33" spans="6:11" x14ac:dyDescent="0.2">
      <c r="F33" s="409"/>
      <c r="G33" s="196"/>
      <c r="H33" s="196"/>
      <c r="I33" s="196"/>
      <c r="J33" s="196"/>
      <c r="K33" s="196"/>
    </row>
    <row r="34" spans="6:11" x14ac:dyDescent="0.2">
      <c r="F34" s="409"/>
      <c r="G34" s="196"/>
      <c r="H34" s="196"/>
      <c r="I34" s="196"/>
      <c r="J34" s="196"/>
      <c r="K34" s="196"/>
    </row>
    <row r="35" spans="6:11" x14ac:dyDescent="0.2">
      <c r="F35" s="409"/>
      <c r="G35" s="196"/>
      <c r="H35" s="196"/>
      <c r="I35" s="196"/>
      <c r="J35" s="196"/>
      <c r="K35" s="196"/>
    </row>
    <row r="36" spans="6:11" x14ac:dyDescent="0.2">
      <c r="F36" s="409"/>
      <c r="G36" s="196"/>
      <c r="H36" s="196"/>
      <c r="I36" s="196"/>
      <c r="J36" s="196"/>
      <c r="K36" s="196"/>
    </row>
    <row r="37" spans="6:11" x14ac:dyDescent="0.2">
      <c r="F37" s="409"/>
      <c r="G37" s="196"/>
      <c r="H37" s="196"/>
      <c r="I37" s="196"/>
      <c r="J37" s="196"/>
      <c r="K37" s="196"/>
    </row>
    <row r="38" spans="6:11" x14ac:dyDescent="0.2">
      <c r="F38" s="409"/>
      <c r="G38" s="196"/>
      <c r="H38" s="196"/>
      <c r="I38" s="196"/>
      <c r="J38" s="196"/>
      <c r="K38" s="196"/>
    </row>
    <row r="39" spans="6:11" x14ac:dyDescent="0.2">
      <c r="F39" s="409"/>
      <c r="G39" s="196"/>
      <c r="H39" s="196"/>
      <c r="I39" s="196"/>
      <c r="J39" s="196"/>
      <c r="K39" s="196"/>
    </row>
    <row r="40" spans="6:11" x14ac:dyDescent="0.2">
      <c r="F40" s="409"/>
      <c r="G40" s="196"/>
      <c r="H40" s="196"/>
      <c r="I40" s="196"/>
      <c r="J40" s="196"/>
      <c r="K40" s="196"/>
    </row>
    <row r="41" spans="6:11" x14ac:dyDescent="0.2">
      <c r="F41" s="409"/>
      <c r="G41" s="196"/>
      <c r="H41" s="196"/>
      <c r="I41" s="196"/>
      <c r="J41" s="196"/>
      <c r="K41" s="196"/>
    </row>
    <row r="42" spans="6:11" x14ac:dyDescent="0.2">
      <c r="F42" s="409"/>
      <c r="G42" s="196"/>
      <c r="H42" s="196"/>
      <c r="I42" s="196"/>
      <c r="J42" s="196"/>
      <c r="K42" s="196"/>
    </row>
    <row r="43" spans="6:11" x14ac:dyDescent="0.2">
      <c r="G43" s="196"/>
      <c r="H43" s="196"/>
      <c r="I43" s="196"/>
      <c r="J43" s="196"/>
      <c r="K43" s="196"/>
    </row>
    <row r="44" spans="6:11" x14ac:dyDescent="0.2">
      <c r="G44" s="196"/>
      <c r="H44" s="196"/>
      <c r="I44" s="196"/>
      <c r="J44" s="196"/>
      <c r="K44" s="196"/>
    </row>
    <row r="45" spans="6:11" x14ac:dyDescent="0.2">
      <c r="G45" s="196"/>
      <c r="H45" s="196"/>
      <c r="I45" s="196"/>
      <c r="J45" s="196"/>
      <c r="K45" s="196"/>
    </row>
  </sheetData>
  <autoFilter ref="B13:L24" xr:uid="{A4C462D1-A60B-4605-A408-7D7117025068}">
    <sortState xmlns:xlrd2="http://schemas.microsoft.com/office/spreadsheetml/2017/richdata2" ref="B14:L24">
      <sortCondition ref="B13:B24"/>
    </sortState>
  </autoFilter>
  <mergeCells count="6">
    <mergeCell ref="C3:C4"/>
    <mergeCell ref="B3:B4"/>
    <mergeCell ref="D3:F3"/>
    <mergeCell ref="G3:H3"/>
    <mergeCell ref="K3:L3"/>
    <mergeCell ref="I3:J3"/>
  </mergeCells>
  <phoneticPr fontId="29" type="noConversion"/>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A118D8F-B1DA-4D39-AFA2-09FB512BEBAB}">
          <x14:formula1>
            <xm:f>Berekening!$C$5:$C$23</xm:f>
          </x14:formula1>
          <xm:sqref>F14:F307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pageSetUpPr fitToPage="1"/>
  </sheetPr>
  <dimension ref="A1:U74"/>
  <sheetViews>
    <sheetView topLeftCell="A30" zoomScale="69" zoomScaleNormal="69" workbookViewId="0">
      <selection activeCell="K17" sqref="K17"/>
    </sheetView>
  </sheetViews>
  <sheetFormatPr defaultColWidth="8.85546875" defaultRowHeight="15" outlineLevelRow="1" x14ac:dyDescent="0.25"/>
  <cols>
    <col min="1" max="1" width="1.42578125" style="6" customWidth="1"/>
    <col min="2" max="2" width="36.28515625" style="4" customWidth="1"/>
    <col min="3" max="3" width="46.28515625" style="4" customWidth="1"/>
    <col min="4" max="4" width="27.42578125" style="4" customWidth="1"/>
    <col min="5" max="6" width="14.28515625" style="4" customWidth="1"/>
    <col min="7" max="7" width="15.7109375" style="4" customWidth="1"/>
    <col min="8" max="8" width="25.5703125" style="4" customWidth="1"/>
    <col min="9" max="17" width="20" style="4" customWidth="1"/>
    <col min="18" max="21" width="14.28515625" style="4" customWidth="1"/>
    <col min="22" max="22" width="5.140625" style="4" bestFit="1" customWidth="1"/>
    <col min="23" max="28" width="14.28515625" style="4" customWidth="1"/>
    <col min="29" max="16384" width="8.85546875" style="4"/>
  </cols>
  <sheetData>
    <row r="1" spans="1:17" ht="7.5" customHeight="1" thickBot="1" x14ac:dyDescent="0.3">
      <c r="A1" s="10"/>
      <c r="B1" s="8"/>
      <c r="C1" s="7"/>
      <c r="D1" s="28" t="s">
        <v>63</v>
      </c>
      <c r="E1" s="2"/>
      <c r="F1" s="3"/>
      <c r="K1" s="463"/>
      <c r="L1" s="463"/>
      <c r="M1" s="463"/>
      <c r="N1" s="463"/>
      <c r="O1" s="463"/>
      <c r="P1" s="463"/>
      <c r="Q1" s="49" t="e">
        <f>#REF!</f>
        <v>#REF!</v>
      </c>
    </row>
    <row r="2" spans="1:17" ht="51" customHeight="1" thickBot="1" x14ac:dyDescent="0.3">
      <c r="A2" s="10"/>
      <c r="B2" s="1"/>
      <c r="C2" s="58"/>
      <c r="D2" s="3"/>
      <c r="E2" s="3"/>
      <c r="F2" s="3"/>
      <c r="G2" s="3"/>
      <c r="H2" s="3"/>
      <c r="I2" s="123" t="s">
        <v>64</v>
      </c>
      <c r="J2" s="488" t="str">
        <f>"Tussenstappen quotiteit " &amp;
TEXT('Matrix kavel'!B3, "#.##0")</f>
        <v>Tussenstappen quotiteit 100</v>
      </c>
      <c r="K2" s="489"/>
      <c r="L2" s="489"/>
      <c r="M2" s="490"/>
      <c r="N2" s="474" t="str">
        <f>"Premieberekening quotiteit " &amp;
TEXT('Matrix kavel'!B3, "#.##0")</f>
        <v>Premieberekening quotiteit 100</v>
      </c>
      <c r="O2" s="474"/>
      <c r="P2" s="474"/>
      <c r="Q2" s="475"/>
    </row>
    <row r="3" spans="1:17" ht="51" customHeight="1" thickBot="1" x14ac:dyDescent="0.3">
      <c r="A3" s="11"/>
      <c r="B3" s="109" t="s">
        <v>65</v>
      </c>
      <c r="C3" s="175" t="s">
        <v>35</v>
      </c>
      <c r="D3" s="110" t="s">
        <v>66</v>
      </c>
      <c r="E3" s="111" t="s">
        <v>67</v>
      </c>
      <c r="F3" s="110" t="s">
        <v>68</v>
      </c>
      <c r="G3" s="112" t="s">
        <v>69</v>
      </c>
      <c r="H3" s="131" t="s">
        <v>70</v>
      </c>
      <c r="I3" s="113" t="s">
        <v>71</v>
      </c>
      <c r="J3" s="114" t="s">
        <v>72</v>
      </c>
      <c r="K3" s="124" t="s">
        <v>73</v>
      </c>
      <c r="L3" s="128" t="s">
        <v>74</v>
      </c>
      <c r="M3" s="127" t="s">
        <v>75</v>
      </c>
      <c r="N3" s="402" t="s">
        <v>76</v>
      </c>
      <c r="O3" s="402" t="s">
        <v>77</v>
      </c>
      <c r="P3" s="402" t="s">
        <v>78</v>
      </c>
      <c r="Q3" s="402" t="s">
        <v>79</v>
      </c>
    </row>
    <row r="4" spans="1:17" ht="15.75" thickBot="1" x14ac:dyDescent="0.3">
      <c r="A4" s="12"/>
      <c r="B4" s="115" t="s">
        <v>80</v>
      </c>
      <c r="C4" s="64"/>
      <c r="D4" s="63">
        <f>SUM(D5:D18)</f>
        <v>25500</v>
      </c>
      <c r="E4" s="29"/>
      <c r="F4" s="29">
        <f>SUM(F5:F18)</f>
        <v>27030</v>
      </c>
      <c r="G4" s="41"/>
      <c r="H4" s="95"/>
      <c r="I4" s="96"/>
      <c r="J4" s="97"/>
      <c r="K4" s="125"/>
      <c r="L4" s="125"/>
      <c r="M4" s="122"/>
      <c r="N4" s="129"/>
      <c r="O4" s="129"/>
      <c r="P4" s="129"/>
      <c r="Q4" s="116"/>
    </row>
    <row r="5" spans="1:17" ht="15.75" customHeight="1" x14ac:dyDescent="0.25">
      <c r="B5" s="294"/>
      <c r="C5" s="295" t="s">
        <v>51</v>
      </c>
      <c r="D5" s="444" cm="1">
        <f t="array" ref="D5">SUMPRODUCT(
  (Raming!E$14:E$200) *
  (INDEX(Raming!G$14:L$200, ROW(Raming!E$14:E$200)-13, VALUE(REPLACE(Berekening!$C$3,1,9,""))) = "x") *
  (Raming!F$14:F$200 = Berekening!C5)
)</f>
        <v>7500</v>
      </c>
      <c r="E5" s="296">
        <v>0.06</v>
      </c>
      <c r="F5" s="297">
        <f>D5+(D5*E5)</f>
        <v>7950</v>
      </c>
      <c r="G5" s="449" cm="1">
        <f t="array" ref="G5">INDEX(Raming!D$5:L$10, VALUE(REPLACE($C$3,1,9,"")), ROW()-4)</f>
        <v>20</v>
      </c>
      <c r="H5" s="288"/>
      <c r="I5" s="298">
        <f>MIN(16*G5,D5*40%)</f>
        <v>320</v>
      </c>
      <c r="J5" s="299">
        <f>Berekening!I5/$J$43*'Matrix kavel'!$B$3</f>
        <v>32</v>
      </c>
      <c r="K5" s="300">
        <f>D5/J$43*'Matrix kavel'!$B$3</f>
        <v>750</v>
      </c>
      <c r="L5" s="470">
        <f>P5-J5</f>
        <v>860.5</v>
      </c>
      <c r="M5" s="472">
        <f>Q5-J5</f>
        <v>1243</v>
      </c>
      <c r="N5" s="466">
        <f>J5+J6</f>
        <v>48</v>
      </c>
      <c r="O5" s="466">
        <f>N5</f>
        <v>48</v>
      </c>
      <c r="P5" s="466">
        <f>MIN(35%*(K5+IF(K5&gt;0,K6,0)+IF(K5&gt;0,K7,0)),4025)</f>
        <v>892.5</v>
      </c>
      <c r="Q5" s="468">
        <f>MIN(50%*(K5+IF(K5&gt;0,K6,0)+IF(K5&gt;0,K7,0)),5750)</f>
        <v>1275</v>
      </c>
    </row>
    <row r="6" spans="1:17" ht="15.75" customHeight="1" x14ac:dyDescent="0.25">
      <c r="A6" s="176"/>
      <c r="B6" s="301"/>
      <c r="C6" s="302" t="s">
        <v>55</v>
      </c>
      <c r="D6" s="445" cm="1">
        <f t="array" ref="D6">SUMPRODUCT(
  (Raming!E$14:E$200) *
  (INDEX(Raming!G$14:L$200, ROW(Raming!E$14:E$200)-13, VALUE(REPLACE(Berekening!$C$3,1,9,""))) = "x") *
  (Raming!F$14:F$200 = Berekening!C6)
)</f>
        <v>3000</v>
      </c>
      <c r="E6" s="296">
        <v>0.06</v>
      </c>
      <c r="F6" s="297">
        <f t="shared" ref="F6" si="0">D6+(D6*E6)</f>
        <v>3180</v>
      </c>
      <c r="G6" s="449" cm="1">
        <f t="array" ref="G6">INDEX(Raming!D$5:L$10, VALUE(REPLACE($C$3,1,9,"")), ROW()-4)</f>
        <v>20</v>
      </c>
      <c r="H6" s="289" t="s">
        <v>81</v>
      </c>
      <c r="I6" s="298">
        <f>IF(H6="Geen bonus asbest",0,MIN(8*G6,50%*(D5+D6)))</f>
        <v>160</v>
      </c>
      <c r="J6" s="303">
        <f>Berekening!I6/$J$43*'Matrix kavel'!$B$3</f>
        <v>16</v>
      </c>
      <c r="K6" s="300">
        <f>D6/J$43*'Matrix kavel'!$B$3</f>
        <v>300</v>
      </c>
      <c r="L6" s="471"/>
      <c r="M6" s="473"/>
      <c r="N6" s="476"/>
      <c r="O6" s="476"/>
      <c r="P6" s="467"/>
      <c r="Q6" s="469"/>
    </row>
    <row r="7" spans="1:17" ht="15.75" customHeight="1" x14ac:dyDescent="0.25">
      <c r="A7" s="176"/>
      <c r="B7" s="301"/>
      <c r="C7" s="295" t="s">
        <v>53</v>
      </c>
      <c r="D7" s="446" cm="1">
        <f t="array" ref="D7">SUMPRODUCT(
  (Raming!E$14:E$200) *
  (INDEX(Raming!G$14:L$200, ROW(Raming!E$14:E$200)-13, VALUE(REPLACE(Berekening!$C$3,1,9,""))) = "x") *
  (Raming!F$14:F$200 = Berekening!C7)
)</f>
        <v>15000</v>
      </c>
      <c r="E7" s="296">
        <v>0.06</v>
      </c>
      <c r="F7" s="297">
        <f>D7+(D7*E7)</f>
        <v>15900</v>
      </c>
      <c r="G7" s="449" cm="1">
        <f t="array" ref="G7">INDEX(Raming!D$5:L$10, VALUE(REPLACE($C$3,1,9,"")), ROW()-4)</f>
        <v>20</v>
      </c>
      <c r="H7" s="288"/>
      <c r="I7" s="309"/>
      <c r="J7" s="310"/>
      <c r="K7" s="300">
        <f>D7/J$43*'Matrix kavel'!$B$3</f>
        <v>1500</v>
      </c>
      <c r="L7" s="471"/>
      <c r="M7" s="473"/>
      <c r="N7" s="311"/>
      <c r="O7" s="311"/>
      <c r="P7" s="467"/>
      <c r="Q7" s="469"/>
    </row>
    <row r="8" spans="1:17" ht="15.75" customHeight="1" x14ac:dyDescent="0.25">
      <c r="A8" s="177"/>
      <c r="B8" s="312" t="s">
        <v>82</v>
      </c>
      <c r="C8" s="313" t="s">
        <v>83</v>
      </c>
      <c r="D8" s="444" cm="1">
        <f t="array" ref="D8">SUMPRODUCT(
  (Raming!E$14:E$200) *
  (INDEX(Raming!G$14:L$200, ROW(Raming!E$14:E$200)-13, VALUE(REPLACE(Berekening!$C$3,1,9,""))) = "x") *
  (Raming!F$14:F$200 = Berekening!C8)
)</f>
        <v>0</v>
      </c>
      <c r="E8" s="314">
        <v>0.06</v>
      </c>
      <c r="F8" s="315">
        <f t="shared" ref="F8:F9" si="1">D8+(D8*E8)</f>
        <v>0</v>
      </c>
      <c r="G8" s="450" cm="1">
        <f t="array" ref="G8">INDEX(Raming!D$5:L$10, VALUE(REPLACE($C$3,1,9,"")), ROW()-4)</f>
        <v>0</v>
      </c>
      <c r="H8" s="290"/>
      <c r="I8" s="316">
        <f>IF(B8="Spouwmuur",MIN(7.5*G8,0.4*D8),IF(B8="Binnenkant",MIN(15*G8,0.4*D8),IF(B8="Buitenkant",MIN(22.5*G8,0.4*D8))))</f>
        <v>0</v>
      </c>
      <c r="J8" s="317">
        <f>Berekening!I8/$J$43*'Matrix kavel'!$B$3</f>
        <v>0</v>
      </c>
      <c r="K8" s="318">
        <f>D8/J$43*'Matrix kavel'!$B$3</f>
        <v>0</v>
      </c>
      <c r="L8" s="480">
        <f>P8-J8</f>
        <v>0</v>
      </c>
      <c r="M8" s="478">
        <f>Q8-J8</f>
        <v>0</v>
      </c>
      <c r="N8" s="319">
        <f>J8</f>
        <v>0</v>
      </c>
      <c r="O8" s="319">
        <f>N8</f>
        <v>0</v>
      </c>
      <c r="P8" s="466">
        <f>MIN(35%*(K8+IF(K8&gt;0,K9,0)),3500)</f>
        <v>0</v>
      </c>
      <c r="Q8" s="468">
        <f>MIN(50%*(K8+IF(K8&gt;0,K9,0)),5000)</f>
        <v>0</v>
      </c>
    </row>
    <row r="9" spans="1:17" ht="15.75" customHeight="1" x14ac:dyDescent="0.25">
      <c r="A9" s="177"/>
      <c r="B9" s="320"/>
      <c r="C9" s="321" t="s">
        <v>84</v>
      </c>
      <c r="D9" s="446" cm="1">
        <f t="array" ref="D9">SUMPRODUCT(
  (Raming!E$14:E$200) *
  (INDEX(Raming!G$14:L$200, ROW(Raming!E$14:E$200)-13, VALUE(REPLACE(Berekening!$C$3,1,9,""))) = "x") *
  (Raming!F$14:F$200 = Berekening!C9)
)</f>
        <v>0</v>
      </c>
      <c r="E9" s="322">
        <v>0.06</v>
      </c>
      <c r="F9" s="323">
        <f t="shared" si="1"/>
        <v>0</v>
      </c>
      <c r="G9" s="451" cm="1">
        <f t="array" ref="G9">INDEX(Raming!D$5:L$10, VALUE(REPLACE($C$3,1,9,"")), ROW()-4)</f>
        <v>0</v>
      </c>
      <c r="H9" s="291"/>
      <c r="I9" s="324"/>
      <c r="J9" s="325"/>
      <c r="K9" s="326">
        <f>D9/J$43*'Matrix kavel'!$B$3</f>
        <v>0</v>
      </c>
      <c r="L9" s="481"/>
      <c r="M9" s="479"/>
      <c r="N9" s="327"/>
      <c r="O9" s="327"/>
      <c r="P9" s="476"/>
      <c r="Q9" s="477"/>
    </row>
    <row r="10" spans="1:17" ht="15.75" customHeight="1" x14ac:dyDescent="0.25">
      <c r="A10" s="176"/>
      <c r="B10" s="328"/>
      <c r="C10" s="329" t="s">
        <v>85</v>
      </c>
      <c r="D10" s="444" cm="1">
        <f t="array" ref="D10">SUMPRODUCT(
  (Raming!E$14:E$200) *
  (INDEX(Raming!G$14:L$200, ROW(Raming!E$14:E$200)-13, VALUE(REPLACE(Berekening!$C$3,1,9,""))) = "x") *
  (Raming!F$14:F$200 = Berekening!C10)
)</f>
        <v>0</v>
      </c>
      <c r="E10" s="314">
        <v>0.06</v>
      </c>
      <c r="F10" s="315">
        <f t="shared" ref="F10:F17" si="2">D10+(D10*E10)</f>
        <v>0</v>
      </c>
      <c r="G10" s="450" cm="1">
        <f t="array" ref="G10">INDEX(Raming!D$5:L$10, VALUE(REPLACE($C$3,1,9,"")), ROW()-4)</f>
        <v>0</v>
      </c>
      <c r="H10" s="290"/>
      <c r="I10" s="316">
        <f>MIN(9*G10,D10*0.4)</f>
        <v>0</v>
      </c>
      <c r="J10" s="330">
        <f>Berekening!I10/$J$43*'Matrix kavel'!$B$3</f>
        <v>0</v>
      </c>
      <c r="K10" s="318">
        <f>D10/J$43*'Matrix kavel'!$B$3</f>
        <v>0</v>
      </c>
      <c r="L10" s="480">
        <f>P10-J10</f>
        <v>0</v>
      </c>
      <c r="M10" s="478">
        <f>Q10-J10</f>
        <v>0</v>
      </c>
      <c r="N10" s="319">
        <f>J10</f>
        <v>0</v>
      </c>
      <c r="O10" s="319">
        <f t="shared" ref="O10:O12" si="3">N10</f>
        <v>0</v>
      </c>
      <c r="P10" s="466">
        <f>MIN(35%*(K10+IF(K10&gt;0,K11,0)),1050)</f>
        <v>0</v>
      </c>
      <c r="Q10" s="468">
        <f>MIN(50%*(K10+IF(K10&gt;0,K11,0)),1500)</f>
        <v>0</v>
      </c>
    </row>
    <row r="11" spans="1:17" ht="15.75" customHeight="1" x14ac:dyDescent="0.25">
      <c r="A11" s="176"/>
      <c r="B11" s="331"/>
      <c r="C11" s="332" t="s">
        <v>86</v>
      </c>
      <c r="D11" s="446" cm="1">
        <f t="array" ref="D11">SUMPRODUCT(
  (Raming!E$14:E$200) *
  (INDEX(Raming!G$14:L$200, ROW(Raming!E$14:E$200)-13, VALUE(REPLACE(Berekening!$C$3,1,9,""))) = "x") *
  (Raming!F$14:F$200 = Berekening!C11)
)</f>
        <v>0</v>
      </c>
      <c r="E11" s="322">
        <v>0.06</v>
      </c>
      <c r="F11" s="323">
        <f t="shared" si="2"/>
        <v>0</v>
      </c>
      <c r="G11" s="451" cm="1">
        <f t="array" ref="G11">INDEX(Raming!D$5:L$10, VALUE(REPLACE($C$3,1,9,"")), ROW()-4)</f>
        <v>0</v>
      </c>
      <c r="H11" s="291"/>
      <c r="I11" s="324"/>
      <c r="J11" s="325"/>
      <c r="K11" s="326">
        <f>D11/J$43*'Matrix kavel'!$B$3</f>
        <v>0</v>
      </c>
      <c r="L11" s="481"/>
      <c r="M11" s="479"/>
      <c r="N11" s="327"/>
      <c r="O11" s="327"/>
      <c r="P11" s="476"/>
      <c r="Q11" s="477"/>
    </row>
    <row r="12" spans="1:17" ht="15.75" customHeight="1" x14ac:dyDescent="0.25">
      <c r="A12" s="176"/>
      <c r="B12" s="333"/>
      <c r="C12" s="295" t="s">
        <v>47</v>
      </c>
      <c r="D12" s="444" cm="1">
        <f t="array" ref="D12">SUMPRODUCT(
  (Raming!E$14:E$200) *
  (INDEX(Raming!G$14:L$200, ROW(Raming!E$14:E$200)-13, VALUE(REPLACE(Berekening!$C$3,1,9,""))) = "x") *
  (Raming!F$14:F$200 = Berekening!C12)
)</f>
        <v>0</v>
      </c>
      <c r="E12" s="296">
        <v>0.06</v>
      </c>
      <c r="F12" s="297">
        <f t="shared" si="2"/>
        <v>0</v>
      </c>
      <c r="G12" s="449" cm="1">
        <f t="array" ref="G12">INDEX(Raming!D$5:L$10, VALUE(REPLACE($C$3,1,9,"")), ROW()-4)</f>
        <v>0</v>
      </c>
      <c r="H12" s="288"/>
      <c r="I12" s="298">
        <f>MIN(64*G12,0.4*D12)</f>
        <v>0</v>
      </c>
      <c r="J12" s="334">
        <f>Berekening!I12/$J$43*'Matrix kavel'!$B$3</f>
        <v>0</v>
      </c>
      <c r="K12" s="300">
        <f>D12/J$43*'Matrix kavel'!$B$3</f>
        <v>0</v>
      </c>
      <c r="L12" s="491">
        <f>P12-J12</f>
        <v>0</v>
      </c>
      <c r="M12" s="492">
        <f>Q12-J12</f>
        <v>0</v>
      </c>
      <c r="N12" s="306">
        <f>J12</f>
        <v>0</v>
      </c>
      <c r="O12" s="306">
        <f t="shared" si="3"/>
        <v>0</v>
      </c>
      <c r="P12" s="467">
        <f>MIN(35%*(K12+K13),3675)</f>
        <v>0</v>
      </c>
      <c r="Q12" s="469">
        <f>MIN(50%*(K12+K13),5250)</f>
        <v>0</v>
      </c>
    </row>
    <row r="13" spans="1:17" ht="15.75" customHeight="1" x14ac:dyDescent="0.25">
      <c r="A13" s="176"/>
      <c r="B13" s="333"/>
      <c r="C13" s="295" t="s">
        <v>87</v>
      </c>
      <c r="D13" s="446" cm="1">
        <f t="array" ref="D13">SUMPRODUCT(
  (Raming!E$14:E$200) *
  (INDEX(Raming!G$14:L$200, ROW(Raming!E$14:E$200)-13, VALUE(REPLACE(Berekening!$C$3,1,9,""))) = "x") *
  (Raming!F$14:F$200 = Berekening!C13)
)</f>
        <v>0</v>
      </c>
      <c r="E13" s="296">
        <v>0.06</v>
      </c>
      <c r="F13" s="297">
        <f t="shared" ref="F13" si="4">D13+(D13*E13)</f>
        <v>0</v>
      </c>
      <c r="G13" s="449" cm="1">
        <f t="array" ref="G13">INDEX(Raming!D$5:L$10, VALUE(REPLACE($C$3,1,9,"")), ROW()-4)</f>
        <v>0</v>
      </c>
      <c r="H13" s="288"/>
      <c r="I13" s="309"/>
      <c r="J13" s="310"/>
      <c r="K13" s="300">
        <f>D13/J$43*'Matrix kavel'!$B$3</f>
        <v>0</v>
      </c>
      <c r="L13" s="491"/>
      <c r="M13" s="492"/>
      <c r="N13" s="311"/>
      <c r="O13" s="311"/>
      <c r="P13" s="467"/>
      <c r="Q13" s="469"/>
    </row>
    <row r="14" spans="1:17" ht="15.75" customHeight="1" x14ac:dyDescent="0.25">
      <c r="A14" s="176"/>
      <c r="B14" s="335"/>
      <c r="C14" s="336" t="s">
        <v>88</v>
      </c>
      <c r="D14" s="447" cm="1">
        <f t="array" ref="D14">SUMPRODUCT(
  (Raming!E$14:E$200) *
  (INDEX(Raming!G$14:L$200, ROW(Raming!E$14:E$200)-13, VALUE(REPLACE(Berekening!$C$3,1,9,""))) = "x") *
  (Raming!F$14:F$200 = Berekening!C14)
)</f>
        <v>0</v>
      </c>
      <c r="E14" s="337">
        <v>0.06</v>
      </c>
      <c r="F14" s="338">
        <f t="shared" si="2"/>
        <v>0</v>
      </c>
      <c r="G14" s="339"/>
      <c r="H14" s="292"/>
      <c r="I14" s="340"/>
      <c r="J14" s="341"/>
      <c r="K14" s="342">
        <f>D14/J$43*'Matrix kavel'!$B$3</f>
        <v>0</v>
      </c>
      <c r="L14" s="343"/>
      <c r="M14" s="344"/>
      <c r="N14" s="327"/>
      <c r="O14" s="327"/>
      <c r="P14" s="319">
        <f>MIN(K14*35%,1400)</f>
        <v>0</v>
      </c>
      <c r="Q14" s="345">
        <f>MIN(K14*50%,2000)</f>
        <v>0</v>
      </c>
    </row>
    <row r="15" spans="1:17" ht="15.75" customHeight="1" x14ac:dyDescent="0.25">
      <c r="A15" s="176"/>
      <c r="B15" s="346"/>
      <c r="C15" s="295" t="s">
        <v>89</v>
      </c>
      <c r="D15" s="445" cm="1">
        <f t="array" ref="D15">SUMPRODUCT(
  (Raming!E$14:E$200) *
  (INDEX(Raming!G$14:L$200, ROW(Raming!E$14:E$200)-13, VALUE(REPLACE(Berekening!$C$3,1,9,""))) = "x") *
  (Raming!F$14:F$200 = Berekening!C15)
)</f>
        <v>0</v>
      </c>
      <c r="E15" s="296">
        <v>0.06</v>
      </c>
      <c r="F15" s="297">
        <f t="shared" si="2"/>
        <v>0</v>
      </c>
      <c r="G15" s="347"/>
      <c r="H15" s="288"/>
      <c r="I15" s="309"/>
      <c r="J15" s="310"/>
      <c r="K15" s="300">
        <f>D15/J$43*'Matrix kavel'!$B$3</f>
        <v>0</v>
      </c>
      <c r="L15" s="304"/>
      <c r="M15" s="305"/>
      <c r="N15" s="348"/>
      <c r="O15" s="348"/>
      <c r="P15" s="307">
        <f>MIN(K15*35%,2100)</f>
        <v>0</v>
      </c>
      <c r="Q15" s="308">
        <f>MIN(K15*50%,3000)</f>
        <v>0</v>
      </c>
    </row>
    <row r="16" spans="1:17" ht="15.75" customHeight="1" x14ac:dyDescent="0.25">
      <c r="A16" s="176"/>
      <c r="B16" s="349" t="s">
        <v>90</v>
      </c>
      <c r="C16" s="350" t="s">
        <v>91</v>
      </c>
      <c r="D16" s="447" cm="1">
        <f t="array" ref="D16">SUMPRODUCT(
  (Raming!E$14:E$200) *
  (INDEX(Raming!G$14:L$200, ROW(Raming!E$14:E$200)-13, VALUE(REPLACE(Berekening!$C$3,1,9,""))) = "x") *
  (Raming!F$14:F$200 = Berekening!C16)
)</f>
        <v>0</v>
      </c>
      <c r="E16" s="337">
        <v>0.06</v>
      </c>
      <c r="F16" s="338">
        <f t="shared" si="2"/>
        <v>0</v>
      </c>
      <c r="G16" s="339"/>
      <c r="H16" s="293" t="s">
        <v>92</v>
      </c>
      <c r="I16" s="351">
        <f>IF(B16="Geothermisch",MIN((4000*IF(H16="Verhoging 50% premie",1.5,1))*Quotiteiten!C4,D16*0.4),
IF(B16="Lucht-water",MIN((2250*IF(H16="Verhoging 50% premie",1.5,1))*Quotiteiten!C4,D16*0.4),
IF(B16="Hybride",MIN((1500*IF(H16="Verhoging 50% premie",1.5,1))*Quotiteiten!C4,D16*0.4),
IF(B16="Lucht-lucht",MIN((300*IF(H16="Verhoging 50% premie",1.5,1))*Quotiteiten!C4,D16*0.4),
""))))</f>
        <v>0</v>
      </c>
      <c r="J16" s="352">
        <f>Berekening!I16/$J$43*'Matrix kavel'!$B$3</f>
        <v>0</v>
      </c>
      <c r="K16" s="342">
        <f>D16/J$43*'Matrix kavel'!$B$3</f>
        <v>0</v>
      </c>
      <c r="L16" s="353"/>
      <c r="M16" s="354"/>
      <c r="N16" s="311"/>
      <c r="O16" s="311"/>
      <c r="P16" s="311"/>
      <c r="Q16" s="366"/>
    </row>
    <row r="17" spans="1:17" ht="15.75" customHeight="1" x14ac:dyDescent="0.25">
      <c r="A17" s="176"/>
      <c r="B17" s="355"/>
      <c r="C17" s="356" t="s">
        <v>93</v>
      </c>
      <c r="D17" s="445" cm="1">
        <f t="array" ref="D17">SUMPRODUCT(
  (Raming!E$14:E$200) *
  (INDEX(Raming!G$14:L$200, ROW(Raming!E$14:E$200)-13, VALUE(REPLACE(Berekening!$C$3,1,9,""))) = "x") *
  (Raming!F$14:F$200 = Berekening!C17)
)</f>
        <v>0</v>
      </c>
      <c r="E17" s="296">
        <v>0.06</v>
      </c>
      <c r="F17" s="297">
        <f t="shared" si="2"/>
        <v>0</v>
      </c>
      <c r="G17" s="347"/>
      <c r="H17" s="288"/>
      <c r="I17" s="298">
        <f>MIN(D17*0.4,900*Quotiteiten!C4)</f>
        <v>0</v>
      </c>
      <c r="J17" s="334">
        <f>Berekening!I17/$J$43*'Matrix kavel'!$B$3</f>
        <v>0</v>
      </c>
      <c r="K17" s="300">
        <f>D17/J$43*'Matrix kavel'!$B$3</f>
        <v>0</v>
      </c>
      <c r="L17" s="357"/>
      <c r="M17" s="358"/>
      <c r="N17" s="311"/>
      <c r="O17" s="311"/>
      <c r="P17" s="311"/>
      <c r="Q17" s="366"/>
    </row>
    <row r="18" spans="1:17" ht="15.75" customHeight="1" thickBot="1" x14ac:dyDescent="0.3">
      <c r="A18" s="176"/>
      <c r="B18" s="359"/>
      <c r="C18" s="360" t="s">
        <v>62</v>
      </c>
      <c r="D18" s="444" cm="1">
        <f t="array" ref="D18">SUMPRODUCT(
  (Raming!E$14:E$200) *
  (INDEX(Raming!G$14:L$200, ROW(Raming!E$14:E$200)-13, VALUE(REPLACE(Berekening!$C$3,1,9,""))) = "x") *
  (Raming!F$14:F$200 = Berekening!C18)
)</f>
        <v>0</v>
      </c>
      <c r="E18" s="314">
        <v>0.06</v>
      </c>
      <c r="F18" s="315">
        <f>D18+(D18*E18)</f>
        <v>0</v>
      </c>
      <c r="G18" s="361"/>
      <c r="H18" s="290"/>
      <c r="I18" s="362"/>
      <c r="J18" s="363"/>
      <c r="K18" s="318">
        <f>D18/J$43*'Matrix kavel'!$B$3</f>
        <v>0</v>
      </c>
      <c r="L18" s="364"/>
      <c r="M18" s="365"/>
      <c r="N18" s="311"/>
      <c r="O18" s="311"/>
      <c r="P18" s="311"/>
      <c r="Q18" s="366"/>
    </row>
    <row r="19" spans="1:17" ht="15.75" customHeight="1" thickBot="1" x14ac:dyDescent="0.3">
      <c r="A19" s="176"/>
      <c r="B19" s="367" t="s">
        <v>94</v>
      </c>
      <c r="C19" s="368"/>
      <c r="D19" s="448">
        <f>SUM(D20:D23)</f>
        <v>37700</v>
      </c>
      <c r="E19" s="369"/>
      <c r="F19" s="369">
        <f>SUM(F20:F23)</f>
        <v>41087</v>
      </c>
      <c r="G19" s="370"/>
      <c r="H19" s="371"/>
      <c r="I19" s="372"/>
      <c r="J19" s="373"/>
      <c r="K19" s="374"/>
      <c r="L19" s="374"/>
      <c r="M19" s="375"/>
      <c r="N19" s="374"/>
      <c r="O19" s="374"/>
      <c r="P19" s="374"/>
      <c r="Q19" s="375"/>
    </row>
    <row r="20" spans="1:17" ht="15.75" customHeight="1" x14ac:dyDescent="0.25">
      <c r="A20" s="176"/>
      <c r="B20" s="301"/>
      <c r="C20" s="376" t="s">
        <v>95</v>
      </c>
      <c r="D20" s="445" cm="1">
        <f t="array" ref="D20">SUMPRODUCT(
  (Raming!E$14:E$200) *
  (INDEX(Raming!G$14:L$200, ROW(Raming!E$14:E$200)-13, VALUE(REPLACE(Berekening!$C$3,1,9,""))) = "x") *
  (Raming!F$14:F$200 = Berekening!C20)
)</f>
        <v>0</v>
      </c>
      <c r="E20" s="377">
        <v>0.06</v>
      </c>
      <c r="F20" s="378">
        <f>D20+(D20*E20)</f>
        <v>0</v>
      </c>
      <c r="G20" s="379"/>
      <c r="H20" s="288"/>
      <c r="I20" s="309"/>
      <c r="J20" s="310"/>
      <c r="K20" s="357"/>
      <c r="L20" s="357"/>
      <c r="M20" s="358"/>
      <c r="N20" s="348"/>
      <c r="O20" s="348"/>
      <c r="P20" s="348"/>
      <c r="Q20" s="380"/>
    </row>
    <row r="21" spans="1:17" ht="15.75" customHeight="1" x14ac:dyDescent="0.25">
      <c r="A21" s="176"/>
      <c r="B21" s="333"/>
      <c r="C21" s="381" t="s">
        <v>96</v>
      </c>
      <c r="D21" s="445" cm="1">
        <f t="array" ref="D21">SUMPRODUCT(
  (Raming!E$14:E$200) *
  (INDEX(Raming!G$14:L$200, ROW(Raming!E$14:E$200)-13, VALUE(REPLACE(Berekening!$C$3,1,9,""))) = "x") *
  (Raming!F$14:F$200 = Berekening!C21)
)</f>
        <v>0</v>
      </c>
      <c r="E21" s="377">
        <v>0.21</v>
      </c>
      <c r="F21" s="378">
        <f t="shared" ref="F21:F23" si="5">D21+(D21*E21)</f>
        <v>0</v>
      </c>
      <c r="G21" s="379"/>
      <c r="H21" s="288"/>
      <c r="I21" s="309"/>
      <c r="J21" s="310"/>
      <c r="K21" s="357"/>
      <c r="L21" s="357"/>
      <c r="M21" s="358"/>
      <c r="N21" s="348"/>
      <c r="O21" s="348"/>
      <c r="P21" s="348"/>
      <c r="Q21" s="380"/>
    </row>
    <row r="22" spans="1:17" ht="15.75" customHeight="1" x14ac:dyDescent="0.25">
      <c r="A22" s="176"/>
      <c r="B22" s="333"/>
      <c r="C22" s="381" t="s">
        <v>97</v>
      </c>
      <c r="D22" s="445" cm="1">
        <f t="array" ref="D22">SUMPRODUCT(
  (Raming!E$14:E$200) *
  (INDEX(Raming!G$14:L$200, ROW(Raming!E$14:E$200)-13, VALUE(REPLACE(Berekening!$C$3,1,9,""))) = "x") *
  (Raming!F$14:F$200 = Berekening!C22)
)</f>
        <v>30200</v>
      </c>
      <c r="E22" s="377">
        <v>0.06</v>
      </c>
      <c r="F22" s="378">
        <f>D22+(D22*E22)</f>
        <v>32012</v>
      </c>
      <c r="G22" s="379"/>
      <c r="H22" s="288"/>
      <c r="I22" s="309"/>
      <c r="J22" s="310"/>
      <c r="K22" s="357"/>
      <c r="L22" s="357"/>
      <c r="M22" s="358"/>
      <c r="N22" s="348"/>
      <c r="O22" s="348"/>
      <c r="P22" s="348"/>
      <c r="Q22" s="380"/>
    </row>
    <row r="23" spans="1:17" ht="15.75" customHeight="1" thickBot="1" x14ac:dyDescent="0.3">
      <c r="A23" s="176"/>
      <c r="B23" s="382"/>
      <c r="C23" s="383" t="s">
        <v>59</v>
      </c>
      <c r="D23" s="445" cm="1">
        <f t="array" ref="D23">SUMPRODUCT(
  (Raming!E$14:E$200) *
  (INDEX(Raming!G$14:L$200, ROW(Raming!E$14:E$200)-13, VALUE(REPLACE(Berekening!$C$3,1,9,""))) = "x") *
  (Raming!F$14:F$200 = Berekening!C23)
)</f>
        <v>7500</v>
      </c>
      <c r="E23" s="384">
        <v>0.21</v>
      </c>
      <c r="F23" s="385">
        <f t="shared" si="5"/>
        <v>9075</v>
      </c>
      <c r="G23" s="386"/>
      <c r="H23" s="387"/>
      <c r="I23" s="388"/>
      <c r="J23" s="389"/>
      <c r="K23" s="390"/>
      <c r="L23" s="390"/>
      <c r="M23" s="391"/>
      <c r="N23" s="392"/>
      <c r="O23" s="392"/>
      <c r="P23" s="392"/>
      <c r="Q23" s="393"/>
    </row>
    <row r="24" spans="1:17" ht="27" thickBot="1" x14ac:dyDescent="0.3">
      <c r="A24" s="12"/>
      <c r="B24" s="102" t="s">
        <v>98</v>
      </c>
      <c r="C24" s="103"/>
      <c r="D24" s="244">
        <f>SUM(D19,D4)</f>
        <v>63200</v>
      </c>
      <c r="E24" s="104">
        <f>F24-D24</f>
        <v>4917</v>
      </c>
      <c r="F24" s="104">
        <f>F19+F4</f>
        <v>68117</v>
      </c>
      <c r="G24" s="105"/>
      <c r="H24" s="106"/>
      <c r="I24" s="107">
        <f>SUM(I5:I23)</f>
        <v>480</v>
      </c>
      <c r="J24" s="108">
        <f>SUM(J5:J18)</f>
        <v>48</v>
      </c>
      <c r="K24" s="126">
        <f>SUM(K5:K18)</f>
        <v>2550</v>
      </c>
      <c r="L24" s="126"/>
      <c r="M24" s="121"/>
      <c r="N24" s="130">
        <f>SUM(N5:N23)</f>
        <v>48</v>
      </c>
      <c r="O24" s="130">
        <f>SUM(O5:O23)</f>
        <v>48</v>
      </c>
      <c r="P24" s="130">
        <f>SUM(P5:P23)</f>
        <v>892.5</v>
      </c>
      <c r="Q24" s="120">
        <f>SUM(Q5:Q23)</f>
        <v>1275</v>
      </c>
    </row>
    <row r="25" spans="1:17" ht="35.25" customHeight="1" x14ac:dyDescent="0.25">
      <c r="A25" s="12"/>
      <c r="B25" s="54"/>
      <c r="C25" s="55"/>
      <c r="D25" s="56"/>
      <c r="E25" s="57"/>
      <c r="F25" s="53"/>
    </row>
    <row r="26" spans="1:17" ht="21" customHeight="1" x14ac:dyDescent="0.25">
      <c r="B26" s="264"/>
      <c r="C26" s="257"/>
      <c r="D26" s="257"/>
      <c r="E26" s="257"/>
      <c r="F26" s="257"/>
    </row>
    <row r="27" spans="1:17" s="195" customFormat="1" ht="21" customHeight="1" x14ac:dyDescent="0.25">
      <c r="A27" s="267"/>
      <c r="B27" s="395" t="s">
        <v>99</v>
      </c>
      <c r="C27" s="262">
        <f>F24</f>
        <v>68117</v>
      </c>
      <c r="D27" s="261" t="s">
        <v>100</v>
      </c>
      <c r="E27" s="268"/>
      <c r="F27" s="257"/>
    </row>
    <row r="28" spans="1:17" ht="21" customHeight="1" x14ac:dyDescent="0.25">
      <c r="B28" s="265" t="s">
        <v>101</v>
      </c>
      <c r="C28" s="263" t="str">
        <f>IF(D54=0,"Er kan niet geleend worden via de MVL.",TEXT(D54,"€ #.##0"))</f>
        <v>€ 27.030</v>
      </c>
      <c r="D28" s="259">
        <f>G54</f>
        <v>0.39681724092370479</v>
      </c>
      <c r="E28" s="257"/>
      <c r="F28" s="257"/>
    </row>
    <row r="29" spans="1:17" ht="21" customHeight="1" x14ac:dyDescent="0.25">
      <c r="B29" s="265" t="s">
        <v>102</v>
      </c>
      <c r="C29" s="263" t="str">
        <f>IF(D55=0,"€ 0",TEXT(D55,"€ #.##0"))</f>
        <v>€ 41.087</v>
      </c>
      <c r="D29" s="260">
        <f>G55</f>
        <v>0.60318275907629515</v>
      </c>
      <c r="E29" s="257"/>
      <c r="F29" s="257"/>
    </row>
    <row r="30" spans="1:17" ht="21" customHeight="1" x14ac:dyDescent="0.25">
      <c r="B30" s="264"/>
      <c r="C30" s="258"/>
      <c r="D30" s="257"/>
      <c r="E30" s="257"/>
      <c r="F30" s="257"/>
    </row>
    <row r="31" spans="1:17" ht="21" customHeight="1" x14ac:dyDescent="0.25">
      <c r="B31" s="395" t="s">
        <v>103</v>
      </c>
      <c r="C31" s="263">
        <f>I24</f>
        <v>480</v>
      </c>
      <c r="D31" s="257"/>
      <c r="E31" s="257"/>
      <c r="F31" s="257"/>
    </row>
    <row r="32" spans="1:17" ht="21" customHeight="1" x14ac:dyDescent="0.25">
      <c r="B32" s="395" t="s">
        <v>104</v>
      </c>
      <c r="C32" s="266" t="str">
        <f>IF(Q24,"Ja, voor elke eigenaar uit inkomenscategorie 3 en 4", "Nee")</f>
        <v>Ja, voor elke eigenaar uit inkomenscategorie 3 en 4</v>
      </c>
      <c r="D32" s="257"/>
      <c r="E32" s="257"/>
      <c r="F32" s="257"/>
    </row>
    <row r="33" spans="1:21" ht="21" customHeight="1" x14ac:dyDescent="0.25">
      <c r="B33" s="264"/>
      <c r="C33" s="257"/>
      <c r="D33" s="257"/>
      <c r="E33" s="257"/>
      <c r="F33" s="257"/>
    </row>
    <row r="34" spans="1:21" ht="21" customHeight="1" x14ac:dyDescent="0.25">
      <c r="B34" s="264" t="str">
        <f>"De VME kan tot € " &amp; TEXT(D49,"#.##0") &amp; " lenen via de overheid. In dit scenario blijft er € " &amp; TEXT(D49-D54,"#.##0") &amp; " onbenut."</f>
        <v>De VME kan tot € 310.000 lenen via de overheid. In dit scenario blijft er € 282.970 onbenut.</v>
      </c>
      <c r="C34" s="287"/>
      <c r="D34" s="257"/>
      <c r="E34" s="257"/>
      <c r="F34" s="257"/>
    </row>
    <row r="35" spans="1:21" ht="21" customHeight="1" x14ac:dyDescent="0.25">
      <c r="B35" s="264"/>
      <c r="C35" s="257"/>
      <c r="D35" s="257"/>
      <c r="E35" s="257"/>
      <c r="F35" s="257"/>
    </row>
    <row r="36" spans="1:21" ht="35.25" customHeight="1" thickBot="1" x14ac:dyDescent="0.3">
      <c r="A36" s="12"/>
      <c r="B36" s="54"/>
      <c r="C36" s="55"/>
      <c r="D36" s="56"/>
      <c r="E36" s="57"/>
      <c r="F36" s="53"/>
    </row>
    <row r="37" spans="1:21" ht="30" customHeight="1" thickBot="1" x14ac:dyDescent="0.3">
      <c r="A37" s="12"/>
      <c r="B37" s="485" t="s">
        <v>105</v>
      </c>
      <c r="C37" s="486"/>
      <c r="D37" s="486"/>
      <c r="E37" s="486"/>
      <c r="F37" s="486"/>
      <c r="G37" s="486"/>
      <c r="H37" s="486"/>
      <c r="I37" s="486"/>
      <c r="J37" s="486"/>
      <c r="K37" s="486"/>
      <c r="L37" s="486"/>
      <c r="M37" s="486"/>
      <c r="N37" s="486"/>
      <c r="O37" s="486"/>
      <c r="P37" s="486"/>
      <c r="Q37" s="487"/>
    </row>
    <row r="38" spans="1:21" ht="15" customHeight="1" outlineLevel="1" thickBot="1" x14ac:dyDescent="0.3">
      <c r="A38" s="12"/>
      <c r="B38" s="54"/>
      <c r="C38" s="55"/>
      <c r="D38" s="56"/>
      <c r="E38" s="57"/>
      <c r="F38" s="53"/>
      <c r="G38" s="53"/>
      <c r="R38" s="36"/>
      <c r="S38" s="36"/>
      <c r="T38" s="36"/>
      <c r="U38" s="36"/>
    </row>
    <row r="39" spans="1:21" ht="15.75" outlineLevel="1" thickBot="1" x14ac:dyDescent="0.3">
      <c r="B39" s="47"/>
      <c r="C39" s="98" t="s">
        <v>106</v>
      </c>
      <c r="D39" s="98" t="s">
        <v>107</v>
      </c>
      <c r="E39" s="98" t="s">
        <v>108</v>
      </c>
      <c r="F39" s="99" t="s">
        <v>109</v>
      </c>
      <c r="G39" s="48" t="s">
        <v>110</v>
      </c>
    </row>
    <row r="40" spans="1:21" outlineLevel="1" x14ac:dyDescent="0.25">
      <c r="B40" s="46" t="s">
        <v>111</v>
      </c>
      <c r="C40" s="100">
        <f>'Aflossing VME MVL_lening 1'!B6</f>
        <v>25</v>
      </c>
      <c r="D40" s="100">
        <f>'Aflossing VME MVL_lening 1'!B5</f>
        <v>300</v>
      </c>
      <c r="E40" s="100">
        <f>MIN(D53,D54)</f>
        <v>27030</v>
      </c>
      <c r="F40" s="51">
        <f>'Aflossing VME MVL_lening 1'!B9</f>
        <v>107.97311028779086</v>
      </c>
      <c r="G40" s="178">
        <f>ABS(F40/J43)</f>
        <v>0.10797311028779086</v>
      </c>
    </row>
    <row r="41" spans="1:21" ht="30.75" outlineLevel="1" thickBot="1" x14ac:dyDescent="0.3">
      <c r="B41" s="43" t="s">
        <v>112</v>
      </c>
      <c r="C41" s="179" t="s">
        <v>113</v>
      </c>
      <c r="D41" s="101">
        <v>1</v>
      </c>
      <c r="E41" s="101">
        <f>'Aflossing VME MVL_lening 1'!E10</f>
        <v>0</v>
      </c>
      <c r="F41" s="101"/>
      <c r="G41" s="180">
        <f>E41/L43</f>
        <v>0</v>
      </c>
      <c r="H41" s="35"/>
    </row>
    <row r="42" spans="1:21" ht="15.75" outlineLevel="1" thickBot="1" x14ac:dyDescent="0.3">
      <c r="B42" s="44" t="s">
        <v>114</v>
      </c>
      <c r="C42" s="50"/>
      <c r="D42" s="50">
        <v>1</v>
      </c>
      <c r="E42" s="50">
        <f>F24-E40</f>
        <v>41087</v>
      </c>
      <c r="F42" s="50"/>
      <c r="G42" s="181">
        <f>ABS(E42/J43)</f>
        <v>41.087000000000003</v>
      </c>
    </row>
    <row r="43" spans="1:21" ht="30.75" outlineLevel="1" thickBot="1" x14ac:dyDescent="0.3">
      <c r="B43" s="42" t="s">
        <v>115</v>
      </c>
      <c r="C43" s="51">
        <f>'Aflossing VME bank_lening 2'!B6</f>
        <v>20</v>
      </c>
      <c r="D43" s="51">
        <f>'Aflossing VME bank_lening 2'!B5</f>
        <v>240</v>
      </c>
      <c r="E43" s="51">
        <f>E42</f>
        <v>41087</v>
      </c>
      <c r="F43" s="51">
        <f>'Aflossing VME bank_lening 2'!B9</f>
        <v>257.93978314570103</v>
      </c>
      <c r="G43" s="182">
        <f>ABS(F43/J43)</f>
        <v>0.25793978314570104</v>
      </c>
      <c r="I43" s="40" t="s">
        <v>116</v>
      </c>
      <c r="J43" s="71">
        <f>Quotiteiten!D6</f>
        <v>1000</v>
      </c>
      <c r="K43" s="70" t="s">
        <v>117</v>
      </c>
      <c r="L43" s="71">
        <f>Quotiteiten!D4</f>
        <v>960</v>
      </c>
      <c r="M43" s="70" t="s">
        <v>118</v>
      </c>
      <c r="N43" s="72">
        <f>Quotiteiten!D5</f>
        <v>40</v>
      </c>
    </row>
    <row r="44" spans="1:21" ht="30.75" outlineLevel="1" thickBot="1" x14ac:dyDescent="0.3">
      <c r="B44" s="45" t="s">
        <v>119</v>
      </c>
      <c r="C44" s="179" t="s">
        <v>113</v>
      </c>
      <c r="D44" s="101">
        <v>1</v>
      </c>
      <c r="E44" s="101">
        <f>'Aflossing VME bank_lening 2'!E10</f>
        <v>0</v>
      </c>
      <c r="F44" s="101"/>
      <c r="G44" s="180">
        <f>E44/J43</f>
        <v>0</v>
      </c>
    </row>
    <row r="45" spans="1:21" ht="30.75" outlineLevel="1" thickBot="1" x14ac:dyDescent="0.3">
      <c r="B45" s="42" t="s">
        <v>120</v>
      </c>
      <c r="C45" s="51">
        <f>'Aflossing VME bank_lening 3'!B6</f>
        <v>20</v>
      </c>
      <c r="D45" s="51">
        <f>'Aflossing VME bank_lening 3'!B5</f>
        <v>240</v>
      </c>
      <c r="E45" s="51">
        <f>D54+D55</f>
        <v>68117</v>
      </c>
      <c r="F45" s="51">
        <f>'Aflossing VME bank_lening 3'!B9</f>
        <v>427.63122662973007</v>
      </c>
      <c r="G45" s="182">
        <f>ABS(F45/J43)</f>
        <v>0.42763122662973008</v>
      </c>
      <c r="I45" s="482" t="s">
        <v>121</v>
      </c>
      <c r="J45" s="483"/>
      <c r="K45" s="484"/>
      <c r="L45" s="62">
        <f>F24/J43</f>
        <v>68.117000000000004</v>
      </c>
      <c r="P45" s="5"/>
    </row>
    <row r="46" spans="1:21" ht="30.75" outlineLevel="1" thickBot="1" x14ac:dyDescent="0.3">
      <c r="B46" s="45" t="s">
        <v>122</v>
      </c>
      <c r="C46" s="183" t="s">
        <v>113</v>
      </c>
      <c r="D46" s="52">
        <v>1</v>
      </c>
      <c r="E46" s="52">
        <f>'Aflossing VME bank_lening 3'!E10</f>
        <v>0</v>
      </c>
      <c r="F46" s="52"/>
      <c r="G46" s="184">
        <f>E46/J43</f>
        <v>0</v>
      </c>
      <c r="H46" s="35"/>
      <c r="I46" s="482" t="s">
        <v>123</v>
      </c>
      <c r="J46" s="483"/>
      <c r="K46" s="484"/>
      <c r="L46" s="62">
        <f>I24/J43</f>
        <v>0.48</v>
      </c>
      <c r="Q46" s="36"/>
    </row>
    <row r="47" spans="1:21" ht="20.100000000000001" customHeight="1" outlineLevel="1" thickBot="1" x14ac:dyDescent="0.3">
      <c r="A47" s="12"/>
      <c r="B47" s="54"/>
      <c r="C47" s="55"/>
      <c r="D47" s="56"/>
      <c r="E47" s="57"/>
      <c r="F47" s="53"/>
      <c r="G47" s="53"/>
      <c r="R47" s="36"/>
      <c r="S47" s="36"/>
      <c r="T47" s="36"/>
      <c r="U47" s="36"/>
    </row>
    <row r="48" spans="1:21" ht="20.100000000000001" customHeight="1" outlineLevel="1" x14ac:dyDescent="0.25">
      <c r="B48" s="269" t="s">
        <v>124</v>
      </c>
      <c r="C48" s="270"/>
      <c r="D48" s="271"/>
      <c r="E48" s="272"/>
      <c r="F48" s="273"/>
      <c r="G48" s="274"/>
    </row>
    <row r="49" spans="2:8" ht="20.100000000000001" customHeight="1" outlineLevel="1" x14ac:dyDescent="0.25">
      <c r="B49" s="464" t="s">
        <v>125</v>
      </c>
      <c r="C49" s="465"/>
      <c r="D49" s="277">
        <f>MIN(60000+25000*Quotiteiten!C4,G4)</f>
        <v>310000</v>
      </c>
      <c r="E49" s="278"/>
      <c r="F49" s="279"/>
      <c r="G49" s="397"/>
    </row>
    <row r="50" spans="2:8" ht="20.100000000000001" customHeight="1" outlineLevel="1" x14ac:dyDescent="0.25">
      <c r="B50" s="275" t="s">
        <v>126</v>
      </c>
      <c r="C50" s="398"/>
      <c r="D50" s="277">
        <f>5300*Quotiteiten!C4</f>
        <v>53000</v>
      </c>
      <c r="E50" s="278"/>
      <c r="F50" s="279"/>
      <c r="G50" s="397"/>
      <c r="H50" s="394"/>
    </row>
    <row r="51" spans="2:8" ht="20.100000000000001" customHeight="1" outlineLevel="1" thickBot="1" x14ac:dyDescent="0.3">
      <c r="B51" s="281" t="s">
        <v>127</v>
      </c>
      <c r="C51" s="399"/>
      <c r="D51" s="283">
        <f>7950*Quotiteiten!C4</f>
        <v>79500</v>
      </c>
      <c r="E51" s="284"/>
      <c r="F51" s="285"/>
      <c r="G51" s="286"/>
    </row>
    <row r="52" spans="2:8" ht="20.100000000000001" customHeight="1" outlineLevel="1" thickBot="1" x14ac:dyDescent="0.3">
      <c r="B52" s="69"/>
      <c r="C52" s="65"/>
      <c r="D52" s="30"/>
      <c r="E52" s="66"/>
      <c r="F52" s="67"/>
      <c r="G52" s="68"/>
    </row>
    <row r="53" spans="2:8" ht="20.100000000000001" customHeight="1" outlineLevel="1" x14ac:dyDescent="0.25">
      <c r="B53" s="269" t="s">
        <v>128</v>
      </c>
      <c r="C53" s="270"/>
      <c r="D53" s="271"/>
      <c r="E53" s="272"/>
      <c r="F53" s="273"/>
      <c r="G53" s="274"/>
    </row>
    <row r="54" spans="2:8" ht="20.100000000000001" customHeight="1" outlineLevel="1" x14ac:dyDescent="0.25">
      <c r="B54" s="275" t="s">
        <v>129</v>
      </c>
      <c r="C54" s="276"/>
      <c r="D54" s="277">
        <f>MIN(
   SUM(F5:F13) - F7 - F9 - F11 +
   IF(F5&gt;0,F7,0) +
   IF(F8&gt;0,F9,0) +
   IF(F10&gt;0,F11,0) +
   MIN(F14,D50) +
   MIN(F15,D51) +
   SUM(F16:F18),
   D49
)</f>
        <v>27030</v>
      </c>
      <c r="E54" s="278" t="s">
        <v>130</v>
      </c>
      <c r="F54" s="279" t="s">
        <v>131</v>
      </c>
      <c r="G54" s="280">
        <f>(D54/F24)*1</f>
        <v>0.39681724092370479</v>
      </c>
    </row>
    <row r="55" spans="2:8" ht="20.100000000000001" customHeight="1" outlineLevel="1" thickBot="1" x14ac:dyDescent="0.3">
      <c r="B55" s="281" t="s">
        <v>132</v>
      </c>
      <c r="C55" s="282"/>
      <c r="D55" s="283">
        <f>MAX(F19,F24-D54)</f>
        <v>41087</v>
      </c>
      <c r="E55" s="284" t="s">
        <v>130</v>
      </c>
      <c r="F55" s="285" t="s">
        <v>133</v>
      </c>
      <c r="G55" s="286">
        <f>(D55/F24)*1</f>
        <v>0.60318275907629515</v>
      </c>
    </row>
    <row r="56" spans="2:8" ht="20.100000000000001" customHeight="1" x14ac:dyDescent="0.25"/>
    <row r="57" spans="2:8" ht="20.100000000000001" customHeight="1" x14ac:dyDescent="0.25"/>
    <row r="58" spans="2:8" ht="20.100000000000001" customHeight="1" x14ac:dyDescent="0.25"/>
    <row r="59" spans="2:8" ht="20.100000000000001" customHeight="1" x14ac:dyDescent="0.25"/>
    <row r="60" spans="2:8" ht="20.100000000000001" customHeight="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sheetData>
  <mergeCells count="25">
    <mergeCell ref="I46:K46"/>
    <mergeCell ref="B37:Q37"/>
    <mergeCell ref="J2:M2"/>
    <mergeCell ref="L10:L11"/>
    <mergeCell ref="M10:M11"/>
    <mergeCell ref="P12:P13"/>
    <mergeCell ref="Q12:Q13"/>
    <mergeCell ref="L12:L13"/>
    <mergeCell ref="M12:M13"/>
    <mergeCell ref="K1:P1"/>
    <mergeCell ref="B49:C49"/>
    <mergeCell ref="P5:P7"/>
    <mergeCell ref="Q5:Q7"/>
    <mergeCell ref="L5:L7"/>
    <mergeCell ref="M5:M7"/>
    <mergeCell ref="N2:Q2"/>
    <mergeCell ref="O5:O6"/>
    <mergeCell ref="N5:N6"/>
    <mergeCell ref="P8:P9"/>
    <mergeCell ref="Q8:Q9"/>
    <mergeCell ref="M8:M9"/>
    <mergeCell ref="L8:L9"/>
    <mergeCell ref="P10:P11"/>
    <mergeCell ref="Q10:Q11"/>
    <mergeCell ref="I45:K45"/>
  </mergeCells>
  <phoneticPr fontId="29" type="noConversion"/>
  <dataValidations count="4">
    <dataValidation type="list" allowBlank="1" showInputMessage="1" showErrorMessage="1" sqref="B8:B9" xr:uid="{88470A65-5C4B-4225-BB09-0934FBE10074}">
      <formula1>"Spouwmuur, Binnenkant, Buitenkant"</formula1>
    </dataValidation>
    <dataValidation type="list" allowBlank="1" showInputMessage="1" showErrorMessage="1" sqref="B16" xr:uid="{DBE8AC0E-C491-4F6F-9490-39BFD658FCC8}">
      <formula1>"Geothermisch, Lucht-water, Lucht-lucht, Hybride"</formula1>
    </dataValidation>
    <dataValidation type="list" allowBlank="1" showInputMessage="1" showErrorMessage="1" sqref="H16" xr:uid="{4746EF9D-1321-4596-8091-C8DDFABFA319}">
      <formula1>"Verhoging 50% premie, Geen verhoging premie"</formula1>
    </dataValidation>
    <dataValidation type="list" allowBlank="1" showInputMessage="1" showErrorMessage="1" sqref="H6" xr:uid="{79045AD5-AE63-4008-8916-C9DEE24015ED}">
      <formula1>"Bonus asbest, Geen bonus asbest"</formula1>
    </dataValidation>
  </dataValidations>
  <pageMargins left="0.7" right="0.7" top="0.75" bottom="0.75" header="0.3" footer="0.3"/>
  <pageSetup paperSize="8" fitToWidth="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50F0E5E-FEE6-4ACC-8478-7FA0AF3C3F81}">
          <x14:formula1>
            <xm:f>Raming!$B$5:$B$10</xm:f>
          </x14:formula1>
          <xm:sqref>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E1EC4-00A5-4A94-8789-C088CBB1A15A}">
  <sheetPr>
    <tabColor theme="6" tint="0.39997558519241921"/>
    <pageSetUpPr fitToPage="1"/>
  </sheetPr>
  <dimension ref="B1:U28"/>
  <sheetViews>
    <sheetView topLeftCell="A6" workbookViewId="0">
      <selection activeCell="N6" sqref="N6"/>
    </sheetView>
  </sheetViews>
  <sheetFormatPr defaultColWidth="9.140625" defaultRowHeight="15" x14ac:dyDescent="0.25"/>
  <cols>
    <col min="1" max="1" width="7.5703125" style="4" customWidth="1"/>
    <col min="2" max="2" width="42.7109375" style="4" customWidth="1"/>
    <col min="3" max="6" width="33.140625" style="4" customWidth="1"/>
    <col min="7" max="8" width="8.85546875" style="4" customWidth="1"/>
    <col min="9" max="16384" width="9.140625" style="4"/>
  </cols>
  <sheetData>
    <row r="1" spans="2:21" ht="15.75" thickBot="1" x14ac:dyDescent="0.3"/>
    <row r="2" spans="2:21" x14ac:dyDescent="0.25">
      <c r="B2" s="119" t="s">
        <v>134</v>
      </c>
      <c r="C2" s="83" t="s">
        <v>135</v>
      </c>
      <c r="D2" s="83" t="s">
        <v>136</v>
      </c>
      <c r="E2" s="83" t="s">
        <v>137</v>
      </c>
      <c r="F2" s="83" t="s">
        <v>138</v>
      </c>
    </row>
    <row r="3" spans="2:21" ht="39.75" customHeight="1" thickBot="1" x14ac:dyDescent="0.3">
      <c r="B3" s="452">
        <f>Quotiteiten!E4</f>
        <v>100</v>
      </c>
      <c r="C3" s="81" t="s">
        <v>139</v>
      </c>
      <c r="D3" s="82" t="s">
        <v>140</v>
      </c>
      <c r="E3" s="81" t="s">
        <v>141</v>
      </c>
      <c r="F3" s="82" t="s">
        <v>142</v>
      </c>
    </row>
    <row r="4" spans="2:21" ht="22.5" customHeight="1" thickBot="1" x14ac:dyDescent="0.3">
      <c r="B4" s="493" t="s">
        <v>143</v>
      </c>
      <c r="C4" s="494"/>
      <c r="D4" s="494"/>
      <c r="E4" s="494"/>
      <c r="F4" s="495"/>
    </row>
    <row r="5" spans="2:21" s="9" customFormat="1" ht="30" customHeight="1" thickBot="1" x14ac:dyDescent="0.3">
      <c r="B5" s="138"/>
      <c r="C5" s="78">
        <f>Berekening!L45*'Matrix kavel'!B3</f>
        <v>6811.7000000000007</v>
      </c>
      <c r="D5" s="78">
        <f>B3*Berekening!G42</f>
        <v>4108.7000000000007</v>
      </c>
      <c r="E5" s="78">
        <v>0</v>
      </c>
      <c r="F5" s="93">
        <v>0</v>
      </c>
      <c r="P5" s="4"/>
      <c r="Q5" s="4"/>
      <c r="R5" s="4"/>
      <c r="S5" s="4"/>
      <c r="T5" s="4"/>
      <c r="U5" s="4"/>
    </row>
    <row r="6" spans="2:21" ht="22.5" customHeight="1" thickBot="1" x14ac:dyDescent="0.3">
      <c r="B6" s="493" t="s">
        <v>144</v>
      </c>
      <c r="C6" s="494"/>
      <c r="D6" s="494"/>
      <c r="E6" s="494"/>
      <c r="F6" s="495"/>
    </row>
    <row r="7" spans="2:21" ht="15" customHeight="1" x14ac:dyDescent="0.25">
      <c r="B7" s="139" t="s">
        <v>145</v>
      </c>
      <c r="C7" s="508"/>
      <c r="D7" s="511">
        <f>B3*Berekening!G40</f>
        <v>10.797311028779086</v>
      </c>
      <c r="E7" s="511">
        <f>B3*Berekening!G40</f>
        <v>10.797311028779086</v>
      </c>
      <c r="F7" s="513"/>
    </row>
    <row r="8" spans="2:21" s="9" customFormat="1" ht="15" customHeight="1" x14ac:dyDescent="0.25">
      <c r="B8" s="140" t="str">
        <f>"Looptijd " &amp; 'Aflossing VME MVL_lening 1'!B6 &amp; " jaar"</f>
        <v>Looptijd 25 jaar</v>
      </c>
      <c r="C8" s="509"/>
      <c r="D8" s="496"/>
      <c r="E8" s="496"/>
      <c r="F8" s="514"/>
      <c r="P8" s="4"/>
      <c r="Q8" s="4"/>
      <c r="R8" s="4"/>
      <c r="S8" s="4"/>
      <c r="T8" s="4"/>
      <c r="U8" s="4"/>
    </row>
    <row r="9" spans="2:21" s="9" customFormat="1" ht="15" customHeight="1" x14ac:dyDescent="0.25">
      <c r="B9" s="141" t="str">
        <f>"Rentevoet " &amp; ('Aflossing VME MVL_lening 1'!B8 * 100) &amp; "%"</f>
        <v>Rentevoet 1,5%</v>
      </c>
      <c r="C9" s="510"/>
      <c r="D9" s="512"/>
      <c r="E9" s="512"/>
      <c r="F9" s="515"/>
      <c r="P9" s="4"/>
      <c r="Q9" s="4"/>
      <c r="R9" s="4"/>
      <c r="S9" s="4"/>
      <c r="T9" s="4"/>
      <c r="U9" s="4"/>
    </row>
    <row r="10" spans="2:21" ht="15" customHeight="1" x14ac:dyDescent="0.25">
      <c r="B10" s="142" t="s">
        <v>146</v>
      </c>
      <c r="C10" s="507"/>
      <c r="D10" s="507"/>
      <c r="E10" s="496">
        <f>B3*Berekening!G43</f>
        <v>25.793978314570104</v>
      </c>
      <c r="F10" s="497">
        <f>B3*Berekening!G45</f>
        <v>42.763122662973011</v>
      </c>
    </row>
    <row r="11" spans="2:21" s="9" customFormat="1" ht="15" customHeight="1" x14ac:dyDescent="0.25">
      <c r="B11" s="140" t="str">
        <f>"Looptijd " &amp; 'Aflossing VME bank_lening 3'!B6 &amp; " jaar"</f>
        <v>Looptijd 20 jaar</v>
      </c>
      <c r="C11" s="507"/>
      <c r="D11" s="507"/>
      <c r="E11" s="496"/>
      <c r="F11" s="497"/>
    </row>
    <row r="12" spans="2:21" s="9" customFormat="1" ht="15" customHeight="1" thickBot="1" x14ac:dyDescent="0.3">
      <c r="B12" s="143" t="str">
        <f>"Rentevoet " &amp; ('Aflossing VME bank_lening 3'!B8 * 100) &amp; "%"</f>
        <v>Rentevoet 4,5%</v>
      </c>
      <c r="C12" s="507"/>
      <c r="D12" s="507"/>
      <c r="E12" s="496"/>
      <c r="F12" s="497"/>
    </row>
    <row r="13" spans="2:21" ht="22.5" customHeight="1" thickBot="1" x14ac:dyDescent="0.3">
      <c r="B13" s="47" t="s">
        <v>147</v>
      </c>
      <c r="C13" s="80"/>
      <c r="D13" s="94">
        <f>D7+D10</f>
        <v>10.797311028779086</v>
      </c>
      <c r="E13" s="80">
        <f t="shared" ref="E13:F13" si="0">E7+E10</f>
        <v>36.591289343349189</v>
      </c>
      <c r="F13" s="80">
        <f t="shared" si="0"/>
        <v>42.763122662973011</v>
      </c>
      <c r="G13" s="400"/>
      <c r="H13" s="400"/>
      <c r="I13" s="400"/>
      <c r="J13" s="400"/>
    </row>
    <row r="14" spans="2:21" ht="22.5" customHeight="1" thickBot="1" x14ac:dyDescent="0.3">
      <c r="B14" s="47" t="s">
        <v>148</v>
      </c>
      <c r="C14" s="80">
        <f>C5</f>
        <v>6811.7000000000007</v>
      </c>
      <c r="D14" s="94">
        <f>D5+D7*'Aflossing VME MVL_lening 1'!B5</f>
        <v>7347.8933086337265</v>
      </c>
      <c r="E14" s="80">
        <f>(E7*'Aflossing VME MVL_lening 1'!B5)+(E10*'Aflossing VME bank_lening 2'!B5)</f>
        <v>9429.7481041305509</v>
      </c>
      <c r="F14" s="80">
        <f>(F10*'Aflossing VME bank_lening 3'!B5)</f>
        <v>10263.149439113522</v>
      </c>
      <c r="G14" s="400"/>
      <c r="H14" s="400"/>
      <c r="I14" s="400"/>
      <c r="J14" s="400"/>
    </row>
    <row r="15" spans="2:21" ht="22.5" customHeight="1" thickBot="1" x14ac:dyDescent="0.3">
      <c r="B15" s="151" t="s">
        <v>149</v>
      </c>
      <c r="C15" s="152"/>
      <c r="D15" s="153" t="str">
        <f>"€ " &amp; TEXT('Aflossing VME MVL_lening 1'!E6*'Matrix kavel'!B3,"#.##0") &amp; "  tot  € " &amp; TEXT('Aflossing VME MVL_lening 1'!E9*'Matrix kavel'!B3,"#.##0")</f>
        <v>€ 63  tot  € 105</v>
      </c>
      <c r="E15" s="152" t="str">
        <f>"€ " &amp; TEXT(('Aflossing VME MVL_lening 1'!E6*'Matrix kavel'!B3)+('Aflossing VME bank_lening 2'!E6*'Matrix kavel'!B3),"#.##0") &amp; "  tot  € " &amp; TEXT(('Aflossing VME MVL_lening 1'!E9*'Matrix kavel'!B3)+('Aflossing VME bank_lening 2'!E9*'Matrix kavel'!B3),"#.##0")</f>
        <v>€ 134  tot  € 261</v>
      </c>
      <c r="F15" s="152" t="str">
        <f>"€ " &amp; TEXT('Aflossing VME bank_lening 3'!E6*B3,"#.##0") &amp; "  tot  € " &amp; TEXT('Aflossing VME bank_lening 3'!E9*B3,"#.##0")</f>
        <v>€ 113  tot  € 255</v>
      </c>
      <c r="G15" s="400"/>
      <c r="H15" s="400"/>
      <c r="I15" s="400"/>
      <c r="J15" s="400"/>
    </row>
    <row r="16" spans="2:21" ht="9" customHeight="1" thickBot="1" x14ac:dyDescent="0.3">
      <c r="B16" s="137"/>
      <c r="C16" s="79"/>
      <c r="D16" s="79"/>
      <c r="E16" s="79"/>
      <c r="F16" s="79"/>
      <c r="G16" s="400"/>
      <c r="H16" s="400"/>
      <c r="I16" s="400"/>
      <c r="J16" s="400"/>
    </row>
    <row r="17" spans="2:10" ht="30.75" customHeight="1" thickBot="1" x14ac:dyDescent="0.3">
      <c r="B17" s="493" t="s">
        <v>150</v>
      </c>
      <c r="C17" s="494"/>
      <c r="D17" s="494"/>
      <c r="E17" s="494"/>
      <c r="F17" s="495"/>
      <c r="G17" s="400"/>
      <c r="H17" s="400"/>
      <c r="I17" s="400"/>
      <c r="J17" s="400"/>
    </row>
    <row r="18" spans="2:10" ht="37.5" customHeight="1" x14ac:dyDescent="0.25">
      <c r="B18" s="144" t="s">
        <v>151</v>
      </c>
      <c r="C18" s="498">
        <f>Berekening!J24</f>
        <v>48</v>
      </c>
      <c r="D18" s="499"/>
      <c r="E18" s="499"/>
      <c r="F18" s="500"/>
      <c r="G18" s="132">
        <f>Berekening!N24</f>
        <v>48</v>
      </c>
      <c r="H18" s="401"/>
      <c r="I18" s="400"/>
      <c r="J18" s="400"/>
    </row>
    <row r="19" spans="2:10" ht="37.5" customHeight="1" x14ac:dyDescent="0.25">
      <c r="B19" s="145" t="s">
        <v>152</v>
      </c>
      <c r="C19" s="501">
        <f>C18</f>
        <v>48</v>
      </c>
      <c r="D19" s="502"/>
      <c r="E19" s="502"/>
      <c r="F19" s="503"/>
      <c r="G19" s="132">
        <f>Berekening!O24</f>
        <v>48</v>
      </c>
      <c r="H19" s="401"/>
      <c r="I19" s="400"/>
      <c r="J19" s="400"/>
    </row>
    <row r="20" spans="2:10" ht="37.5" customHeight="1" x14ac:dyDescent="0.25">
      <c r="B20" s="145" t="s">
        <v>153</v>
      </c>
      <c r="C20" s="516" t="str">
        <f>"€ " &amp; TEXT(C18,"#.##0") &amp; "    +     € " &amp; TEXT(Berekening!P24-C18,"#.##0")</f>
        <v>€ 48    +     € 845</v>
      </c>
      <c r="D20" s="517"/>
      <c r="E20" s="517"/>
      <c r="F20" s="518"/>
      <c r="G20" s="132">
        <f>Berekening!P24</f>
        <v>892.5</v>
      </c>
      <c r="H20" s="404"/>
      <c r="I20" s="405"/>
      <c r="J20" s="400"/>
    </row>
    <row r="21" spans="2:10" ht="37.5" customHeight="1" thickBot="1" x14ac:dyDescent="0.3">
      <c r="B21" s="146" t="s">
        <v>154</v>
      </c>
      <c r="C21" s="504" t="str">
        <f>"€ " &amp; TEXT(C18,"#.##0") &amp; "    +     € " &amp; TEXT(Berekening!Q24-C18,"#.##0")</f>
        <v>€ 48    +     € 1.227</v>
      </c>
      <c r="D21" s="505"/>
      <c r="E21" s="505"/>
      <c r="F21" s="506"/>
      <c r="G21" s="132">
        <f>Berekening!Q24</f>
        <v>1275</v>
      </c>
      <c r="H21" s="404"/>
      <c r="I21" s="405"/>
      <c r="J21" s="400"/>
    </row>
    <row r="22" spans="2:10" ht="21.6" hidden="1" customHeight="1" thickBot="1" x14ac:dyDescent="0.3">
      <c r="B22" s="38" t="s">
        <v>155</v>
      </c>
      <c r="C22" s="39" t="e">
        <f>Berekening!#REF!*'Matrix kavel'!B3</f>
        <v>#REF!</v>
      </c>
      <c r="D22" s="73" t="e">
        <f>Berekening!#REF!*'Matrix kavel'!B3</f>
        <v>#REF!</v>
      </c>
      <c r="E22" s="73" t="e">
        <f>Berekening!#REF!*'Matrix kavel'!B3</f>
        <v>#REF!</v>
      </c>
      <c r="F22" s="73" t="e">
        <f>Berekening!#REF!*'Matrix kavel'!B3</f>
        <v>#REF!</v>
      </c>
      <c r="G22" s="406"/>
      <c r="H22" s="400"/>
      <c r="I22" s="400"/>
      <c r="J22" s="400"/>
    </row>
    <row r="23" spans="2:10" ht="9" customHeight="1" thickBot="1" x14ac:dyDescent="0.3">
      <c r="B23" s="137"/>
      <c r="C23" s="79"/>
      <c r="D23" s="79"/>
      <c r="E23" s="79"/>
      <c r="F23" s="79"/>
      <c r="G23" s="406"/>
      <c r="H23" s="400"/>
      <c r="I23" s="400"/>
      <c r="J23" s="400"/>
    </row>
    <row r="24" spans="2:10" ht="30.75" customHeight="1" thickBot="1" x14ac:dyDescent="0.3">
      <c r="B24" s="493" t="s">
        <v>156</v>
      </c>
      <c r="C24" s="494"/>
      <c r="D24" s="494"/>
      <c r="E24" s="494"/>
      <c r="F24" s="495"/>
      <c r="G24" s="406"/>
      <c r="H24" s="400"/>
      <c r="I24" s="400"/>
      <c r="J24" s="400"/>
    </row>
    <row r="25" spans="2:10" ht="30" customHeight="1" x14ac:dyDescent="0.25">
      <c r="B25" s="147" t="s">
        <v>157</v>
      </c>
      <c r="C25" s="85">
        <f>C14-$C$18</f>
        <v>6763.7000000000007</v>
      </c>
      <c r="D25" s="86">
        <f>D14-C18</f>
        <v>7299.8933086337265</v>
      </c>
      <c r="E25" s="86">
        <f>E14-C18</f>
        <v>9381.7481041305509</v>
      </c>
      <c r="F25" s="87">
        <f>F14-C18</f>
        <v>10215.149439113522</v>
      </c>
      <c r="G25" s="406"/>
      <c r="H25" s="400"/>
      <c r="I25" s="400"/>
      <c r="J25" s="400"/>
    </row>
    <row r="26" spans="2:10" ht="30" customHeight="1" x14ac:dyDescent="0.25">
      <c r="B26" s="148" t="s">
        <v>158</v>
      </c>
      <c r="C26" s="89">
        <f>C14-C19</f>
        <v>6763.7000000000007</v>
      </c>
      <c r="D26" s="89">
        <f>D14-C19</f>
        <v>7299.8933086337265</v>
      </c>
      <c r="E26" s="89">
        <f>E14-C19</f>
        <v>9381.7481041305509</v>
      </c>
      <c r="F26" s="90">
        <f>F14-C19</f>
        <v>10215.149439113522</v>
      </c>
    </row>
    <row r="27" spans="2:10" ht="30" customHeight="1" x14ac:dyDescent="0.25">
      <c r="B27" s="149" t="s">
        <v>159</v>
      </c>
      <c r="C27" s="88">
        <f>C14-G20</f>
        <v>5919.2000000000007</v>
      </c>
      <c r="D27" s="89">
        <f>D14-$G$20</f>
        <v>6455.3933086337265</v>
      </c>
      <c r="E27" s="89">
        <f>E14-$G$20</f>
        <v>8537.2481041305509</v>
      </c>
      <c r="F27" s="90">
        <f>F14-$G$20</f>
        <v>9370.649439113522</v>
      </c>
    </row>
    <row r="28" spans="2:10" ht="30" customHeight="1" thickBot="1" x14ac:dyDescent="0.3">
      <c r="B28" s="150" t="s">
        <v>160</v>
      </c>
      <c r="C28" s="91">
        <f>C14-$G$21</f>
        <v>5536.7000000000007</v>
      </c>
      <c r="D28" s="92">
        <f>D14-$G$21</f>
        <v>6072.8933086337265</v>
      </c>
      <c r="E28" s="92">
        <f>E14-$G$21</f>
        <v>8154.7481041305509</v>
      </c>
      <c r="F28" s="91">
        <f>F14-$G$21</f>
        <v>8988.149439113522</v>
      </c>
    </row>
  </sheetData>
  <mergeCells count="16">
    <mergeCell ref="B24:F24"/>
    <mergeCell ref="E10:E12"/>
    <mergeCell ref="F10:F12"/>
    <mergeCell ref="B4:F4"/>
    <mergeCell ref="C18:F18"/>
    <mergeCell ref="C19:F19"/>
    <mergeCell ref="C21:F21"/>
    <mergeCell ref="C10:C12"/>
    <mergeCell ref="D10:D12"/>
    <mergeCell ref="C7:C9"/>
    <mergeCell ref="D7:D9"/>
    <mergeCell ref="E7:E9"/>
    <mergeCell ref="F7:F9"/>
    <mergeCell ref="B6:F6"/>
    <mergeCell ref="B17:F17"/>
    <mergeCell ref="C20:F20"/>
  </mergeCells>
  <pageMargins left="0.25" right="0.25" top="0.75" bottom="0.75" header="0.3" footer="0.3"/>
  <pageSetup paperSize="9" scale="73" orientation="landscape" r:id="rId1"/>
  <headerFooter>
    <oddFooter>&amp;L&amp;D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51CB9-8E23-4FC8-90B7-DF9C1EE8BC15}">
  <sheetPr>
    <tabColor theme="6" tint="0.39997558519241921"/>
  </sheetPr>
  <dimension ref="A1:N317"/>
  <sheetViews>
    <sheetView workbookViewId="0">
      <selection activeCell="M39" sqref="M39"/>
    </sheetView>
  </sheetViews>
  <sheetFormatPr defaultColWidth="8.85546875" defaultRowHeight="12.75" x14ac:dyDescent="0.2"/>
  <cols>
    <col min="1" max="5" width="29.7109375" style="21" customWidth="1"/>
    <col min="6" max="6" width="4.85546875" style="21" customWidth="1"/>
    <col min="7" max="7" width="28.5703125" style="21" customWidth="1"/>
    <col min="8" max="8" width="23.28515625" style="21" customWidth="1"/>
    <col min="9" max="9" width="8.85546875" style="21"/>
    <col min="10" max="10" width="14.5703125" style="21" customWidth="1"/>
    <col min="11" max="11" width="11.7109375" style="21" customWidth="1"/>
    <col min="12" max="12" width="8.85546875" style="21"/>
    <col min="13" max="14" width="12.42578125" style="21" bestFit="1" customWidth="1"/>
    <col min="15" max="254" width="8.85546875" style="21"/>
    <col min="255" max="255" width="18.42578125" style="21" customWidth="1"/>
    <col min="256" max="256" width="16" style="21" bestFit="1" customWidth="1"/>
    <col min="257" max="259" width="8.85546875" style="21"/>
    <col min="260" max="260" width="16.28515625" style="21" customWidth="1"/>
    <col min="261" max="261" width="19.85546875" style="21" customWidth="1"/>
    <col min="262" max="262" width="18" style="21" customWidth="1"/>
    <col min="263" max="265" width="8.85546875" style="21"/>
    <col min="266" max="266" width="14.5703125" style="21" customWidth="1"/>
    <col min="267" max="267" width="11.7109375" style="21" customWidth="1"/>
    <col min="268" max="268" width="8.85546875" style="21"/>
    <col min="269" max="270" width="12.42578125" style="21" bestFit="1" customWidth="1"/>
    <col min="271" max="510" width="8.85546875" style="21"/>
    <col min="511" max="511" width="18.42578125" style="21" customWidth="1"/>
    <col min="512" max="512" width="16" style="21" bestFit="1" customWidth="1"/>
    <col min="513" max="515" width="8.85546875" style="21"/>
    <col min="516" max="516" width="16.28515625" style="21" customWidth="1"/>
    <col min="517" max="517" width="19.85546875" style="21" customWidth="1"/>
    <col min="518" max="518" width="18" style="21" customWidth="1"/>
    <col min="519" max="521" width="8.85546875" style="21"/>
    <col min="522" max="522" width="14.5703125" style="21" customWidth="1"/>
    <col min="523" max="523" width="11.7109375" style="21" customWidth="1"/>
    <col min="524" max="524" width="8.85546875" style="21"/>
    <col min="525" max="526" width="12.42578125" style="21" bestFit="1" customWidth="1"/>
    <col min="527" max="766" width="8.85546875" style="21"/>
    <col min="767" max="767" width="18.42578125" style="21" customWidth="1"/>
    <col min="768" max="768" width="16" style="21" bestFit="1" customWidth="1"/>
    <col min="769" max="771" width="8.85546875" style="21"/>
    <col min="772" max="772" width="16.28515625" style="21" customWidth="1"/>
    <col min="773" max="773" width="19.85546875" style="21" customWidth="1"/>
    <col min="774" max="774" width="18" style="21" customWidth="1"/>
    <col min="775" max="777" width="8.85546875" style="21"/>
    <col min="778" max="778" width="14.5703125" style="21" customWidth="1"/>
    <col min="779" max="779" width="11.7109375" style="21" customWidth="1"/>
    <col min="780" max="780" width="8.85546875" style="21"/>
    <col min="781" max="782" width="12.42578125" style="21" bestFit="1" customWidth="1"/>
    <col min="783" max="1022" width="8.85546875" style="21"/>
    <col min="1023" max="1023" width="18.42578125" style="21" customWidth="1"/>
    <col min="1024" max="1024" width="16" style="21" bestFit="1" customWidth="1"/>
    <col min="1025" max="1027" width="8.85546875" style="21"/>
    <col min="1028" max="1028" width="16.28515625" style="21" customWidth="1"/>
    <col min="1029" max="1029" width="19.85546875" style="21" customWidth="1"/>
    <col min="1030" max="1030" width="18" style="21" customWidth="1"/>
    <col min="1031" max="1033" width="8.85546875" style="21"/>
    <col min="1034" max="1034" width="14.5703125" style="21" customWidth="1"/>
    <col min="1035" max="1035" width="11.7109375" style="21" customWidth="1"/>
    <col min="1036" max="1036" width="8.85546875" style="21"/>
    <col min="1037" max="1038" width="12.42578125" style="21" bestFit="1" customWidth="1"/>
    <col min="1039" max="1278" width="8.85546875" style="21"/>
    <col min="1279" max="1279" width="18.42578125" style="21" customWidth="1"/>
    <col min="1280" max="1280" width="16" style="21" bestFit="1" customWidth="1"/>
    <col min="1281" max="1283" width="8.85546875" style="21"/>
    <col min="1284" max="1284" width="16.28515625" style="21" customWidth="1"/>
    <col min="1285" max="1285" width="19.85546875" style="21" customWidth="1"/>
    <col min="1286" max="1286" width="18" style="21" customWidth="1"/>
    <col min="1287" max="1289" width="8.85546875" style="21"/>
    <col min="1290" max="1290" width="14.5703125" style="21" customWidth="1"/>
    <col min="1291" max="1291" width="11.7109375" style="21" customWidth="1"/>
    <col min="1292" max="1292" width="8.85546875" style="21"/>
    <col min="1293" max="1294" width="12.42578125" style="21" bestFit="1" customWidth="1"/>
    <col min="1295" max="1534" width="8.85546875" style="21"/>
    <col min="1535" max="1535" width="18.42578125" style="21" customWidth="1"/>
    <col min="1536" max="1536" width="16" style="21" bestFit="1" customWidth="1"/>
    <col min="1537" max="1539" width="8.85546875" style="21"/>
    <col min="1540" max="1540" width="16.28515625" style="21" customWidth="1"/>
    <col min="1541" max="1541" width="19.85546875" style="21" customWidth="1"/>
    <col min="1542" max="1542" width="18" style="21" customWidth="1"/>
    <col min="1543" max="1545" width="8.85546875" style="21"/>
    <col min="1546" max="1546" width="14.5703125" style="21" customWidth="1"/>
    <col min="1547" max="1547" width="11.7109375" style="21" customWidth="1"/>
    <col min="1548" max="1548" width="8.85546875" style="21"/>
    <col min="1549" max="1550" width="12.42578125" style="21" bestFit="1" customWidth="1"/>
    <col min="1551" max="1790" width="8.85546875" style="21"/>
    <col min="1791" max="1791" width="18.42578125" style="21" customWidth="1"/>
    <col min="1792" max="1792" width="16" style="21" bestFit="1" customWidth="1"/>
    <col min="1793" max="1795" width="8.85546875" style="21"/>
    <col min="1796" max="1796" width="16.28515625" style="21" customWidth="1"/>
    <col min="1797" max="1797" width="19.85546875" style="21" customWidth="1"/>
    <col min="1798" max="1798" width="18" style="21" customWidth="1"/>
    <col min="1799" max="1801" width="8.85546875" style="21"/>
    <col min="1802" max="1802" width="14.5703125" style="21" customWidth="1"/>
    <col min="1803" max="1803" width="11.7109375" style="21" customWidth="1"/>
    <col min="1804" max="1804" width="8.85546875" style="21"/>
    <col min="1805" max="1806" width="12.42578125" style="21" bestFit="1" customWidth="1"/>
    <col min="1807" max="2046" width="8.85546875" style="21"/>
    <col min="2047" max="2047" width="18.42578125" style="21" customWidth="1"/>
    <col min="2048" max="2048" width="16" style="21" bestFit="1" customWidth="1"/>
    <col min="2049" max="2051" width="8.85546875" style="21"/>
    <col min="2052" max="2052" width="16.28515625" style="21" customWidth="1"/>
    <col min="2053" max="2053" width="19.85546875" style="21" customWidth="1"/>
    <col min="2054" max="2054" width="18" style="21" customWidth="1"/>
    <col min="2055" max="2057" width="8.85546875" style="21"/>
    <col min="2058" max="2058" width="14.5703125" style="21" customWidth="1"/>
    <col min="2059" max="2059" width="11.7109375" style="21" customWidth="1"/>
    <col min="2060" max="2060" width="8.85546875" style="21"/>
    <col min="2061" max="2062" width="12.42578125" style="21" bestFit="1" customWidth="1"/>
    <col min="2063" max="2302" width="8.85546875" style="21"/>
    <col min="2303" max="2303" width="18.42578125" style="21" customWidth="1"/>
    <col min="2304" max="2304" width="16" style="21" bestFit="1" customWidth="1"/>
    <col min="2305" max="2307" width="8.85546875" style="21"/>
    <col min="2308" max="2308" width="16.28515625" style="21" customWidth="1"/>
    <col min="2309" max="2309" width="19.85546875" style="21" customWidth="1"/>
    <col min="2310" max="2310" width="18" style="21" customWidth="1"/>
    <col min="2311" max="2313" width="8.85546875" style="21"/>
    <col min="2314" max="2314" width="14.5703125" style="21" customWidth="1"/>
    <col min="2315" max="2315" width="11.7109375" style="21" customWidth="1"/>
    <col min="2316" max="2316" width="8.85546875" style="21"/>
    <col min="2317" max="2318" width="12.42578125" style="21" bestFit="1" customWidth="1"/>
    <col min="2319" max="2558" width="8.85546875" style="21"/>
    <col min="2559" max="2559" width="18.42578125" style="21" customWidth="1"/>
    <col min="2560" max="2560" width="16" style="21" bestFit="1" customWidth="1"/>
    <col min="2561" max="2563" width="8.85546875" style="21"/>
    <col min="2564" max="2564" width="16.28515625" style="21" customWidth="1"/>
    <col min="2565" max="2565" width="19.85546875" style="21" customWidth="1"/>
    <col min="2566" max="2566" width="18" style="21" customWidth="1"/>
    <col min="2567" max="2569" width="8.85546875" style="21"/>
    <col min="2570" max="2570" width="14.5703125" style="21" customWidth="1"/>
    <col min="2571" max="2571" width="11.7109375" style="21" customWidth="1"/>
    <col min="2572" max="2572" width="8.85546875" style="21"/>
    <col min="2573" max="2574" width="12.42578125" style="21" bestFit="1" customWidth="1"/>
    <col min="2575" max="2814" width="8.85546875" style="21"/>
    <col min="2815" max="2815" width="18.42578125" style="21" customWidth="1"/>
    <col min="2816" max="2816" width="16" style="21" bestFit="1" customWidth="1"/>
    <col min="2817" max="2819" width="8.85546875" style="21"/>
    <col min="2820" max="2820" width="16.28515625" style="21" customWidth="1"/>
    <col min="2821" max="2821" width="19.85546875" style="21" customWidth="1"/>
    <col min="2822" max="2822" width="18" style="21" customWidth="1"/>
    <col min="2823" max="2825" width="8.85546875" style="21"/>
    <col min="2826" max="2826" width="14.5703125" style="21" customWidth="1"/>
    <col min="2827" max="2827" width="11.7109375" style="21" customWidth="1"/>
    <col min="2828" max="2828" width="8.85546875" style="21"/>
    <col min="2829" max="2830" width="12.42578125" style="21" bestFit="1" customWidth="1"/>
    <col min="2831" max="3070" width="8.85546875" style="21"/>
    <col min="3071" max="3071" width="18.42578125" style="21" customWidth="1"/>
    <col min="3072" max="3072" width="16" style="21" bestFit="1" customWidth="1"/>
    <col min="3073" max="3075" width="8.85546875" style="21"/>
    <col min="3076" max="3076" width="16.28515625" style="21" customWidth="1"/>
    <col min="3077" max="3077" width="19.85546875" style="21" customWidth="1"/>
    <col min="3078" max="3078" width="18" style="21" customWidth="1"/>
    <col min="3079" max="3081" width="8.85546875" style="21"/>
    <col min="3082" max="3082" width="14.5703125" style="21" customWidth="1"/>
    <col min="3083" max="3083" width="11.7109375" style="21" customWidth="1"/>
    <col min="3084" max="3084" width="8.85546875" style="21"/>
    <col min="3085" max="3086" width="12.42578125" style="21" bestFit="1" customWidth="1"/>
    <col min="3087" max="3326" width="8.85546875" style="21"/>
    <col min="3327" max="3327" width="18.42578125" style="21" customWidth="1"/>
    <col min="3328" max="3328" width="16" style="21" bestFit="1" customWidth="1"/>
    <col min="3329" max="3331" width="8.85546875" style="21"/>
    <col min="3332" max="3332" width="16.28515625" style="21" customWidth="1"/>
    <col min="3333" max="3333" width="19.85546875" style="21" customWidth="1"/>
    <col min="3334" max="3334" width="18" style="21" customWidth="1"/>
    <col min="3335" max="3337" width="8.85546875" style="21"/>
    <col min="3338" max="3338" width="14.5703125" style="21" customWidth="1"/>
    <col min="3339" max="3339" width="11.7109375" style="21" customWidth="1"/>
    <col min="3340" max="3340" width="8.85546875" style="21"/>
    <col min="3341" max="3342" width="12.42578125" style="21" bestFit="1" customWidth="1"/>
    <col min="3343" max="3582" width="8.85546875" style="21"/>
    <col min="3583" max="3583" width="18.42578125" style="21" customWidth="1"/>
    <col min="3584" max="3584" width="16" style="21" bestFit="1" customWidth="1"/>
    <col min="3585" max="3587" width="8.85546875" style="21"/>
    <col min="3588" max="3588" width="16.28515625" style="21" customWidth="1"/>
    <col min="3589" max="3589" width="19.85546875" style="21" customWidth="1"/>
    <col min="3590" max="3590" width="18" style="21" customWidth="1"/>
    <col min="3591" max="3593" width="8.85546875" style="21"/>
    <col min="3594" max="3594" width="14.5703125" style="21" customWidth="1"/>
    <col min="3595" max="3595" width="11.7109375" style="21" customWidth="1"/>
    <col min="3596" max="3596" width="8.85546875" style="21"/>
    <col min="3597" max="3598" width="12.42578125" style="21" bestFit="1" customWidth="1"/>
    <col min="3599" max="3838" width="8.85546875" style="21"/>
    <col min="3839" max="3839" width="18.42578125" style="21" customWidth="1"/>
    <col min="3840" max="3840" width="16" style="21" bestFit="1" customWidth="1"/>
    <col min="3841" max="3843" width="8.85546875" style="21"/>
    <col min="3844" max="3844" width="16.28515625" style="21" customWidth="1"/>
    <col min="3845" max="3845" width="19.85546875" style="21" customWidth="1"/>
    <col min="3846" max="3846" width="18" style="21" customWidth="1"/>
    <col min="3847" max="3849" width="8.85546875" style="21"/>
    <col min="3850" max="3850" width="14.5703125" style="21" customWidth="1"/>
    <col min="3851" max="3851" width="11.7109375" style="21" customWidth="1"/>
    <col min="3852" max="3852" width="8.85546875" style="21"/>
    <col min="3853" max="3854" width="12.42578125" style="21" bestFit="1" customWidth="1"/>
    <col min="3855" max="4094" width="8.85546875" style="21"/>
    <col min="4095" max="4095" width="18.42578125" style="21" customWidth="1"/>
    <col min="4096" max="4096" width="16" style="21" bestFit="1" customWidth="1"/>
    <col min="4097" max="4099" width="8.85546875" style="21"/>
    <col min="4100" max="4100" width="16.28515625" style="21" customWidth="1"/>
    <col min="4101" max="4101" width="19.85546875" style="21" customWidth="1"/>
    <col min="4102" max="4102" width="18" style="21" customWidth="1"/>
    <col min="4103" max="4105" width="8.85546875" style="21"/>
    <col min="4106" max="4106" width="14.5703125" style="21" customWidth="1"/>
    <col min="4107" max="4107" width="11.7109375" style="21" customWidth="1"/>
    <col min="4108" max="4108" width="8.85546875" style="21"/>
    <col min="4109" max="4110" width="12.42578125" style="21" bestFit="1" customWidth="1"/>
    <col min="4111" max="4350" width="8.85546875" style="21"/>
    <col min="4351" max="4351" width="18.42578125" style="21" customWidth="1"/>
    <col min="4352" max="4352" width="16" style="21" bestFit="1" customWidth="1"/>
    <col min="4353" max="4355" width="8.85546875" style="21"/>
    <col min="4356" max="4356" width="16.28515625" style="21" customWidth="1"/>
    <col min="4357" max="4357" width="19.85546875" style="21" customWidth="1"/>
    <col min="4358" max="4358" width="18" style="21" customWidth="1"/>
    <col min="4359" max="4361" width="8.85546875" style="21"/>
    <col min="4362" max="4362" width="14.5703125" style="21" customWidth="1"/>
    <col min="4363" max="4363" width="11.7109375" style="21" customWidth="1"/>
    <col min="4364" max="4364" width="8.85546875" style="21"/>
    <col min="4365" max="4366" width="12.42578125" style="21" bestFit="1" customWidth="1"/>
    <col min="4367" max="4606" width="8.85546875" style="21"/>
    <col min="4607" max="4607" width="18.42578125" style="21" customWidth="1"/>
    <col min="4608" max="4608" width="16" style="21" bestFit="1" customWidth="1"/>
    <col min="4609" max="4611" width="8.85546875" style="21"/>
    <col min="4612" max="4612" width="16.28515625" style="21" customWidth="1"/>
    <col min="4613" max="4613" width="19.85546875" style="21" customWidth="1"/>
    <col min="4614" max="4614" width="18" style="21" customWidth="1"/>
    <col min="4615" max="4617" width="8.85546875" style="21"/>
    <col min="4618" max="4618" width="14.5703125" style="21" customWidth="1"/>
    <col min="4619" max="4619" width="11.7109375" style="21" customWidth="1"/>
    <col min="4620" max="4620" width="8.85546875" style="21"/>
    <col min="4621" max="4622" width="12.42578125" style="21" bestFit="1" customWidth="1"/>
    <col min="4623" max="4862" width="8.85546875" style="21"/>
    <col min="4863" max="4863" width="18.42578125" style="21" customWidth="1"/>
    <col min="4864" max="4864" width="16" style="21" bestFit="1" customWidth="1"/>
    <col min="4865" max="4867" width="8.85546875" style="21"/>
    <col min="4868" max="4868" width="16.28515625" style="21" customWidth="1"/>
    <col min="4869" max="4869" width="19.85546875" style="21" customWidth="1"/>
    <col min="4870" max="4870" width="18" style="21" customWidth="1"/>
    <col min="4871" max="4873" width="8.85546875" style="21"/>
    <col min="4874" max="4874" width="14.5703125" style="21" customWidth="1"/>
    <col min="4875" max="4875" width="11.7109375" style="21" customWidth="1"/>
    <col min="4876" max="4876" width="8.85546875" style="21"/>
    <col min="4877" max="4878" width="12.42578125" style="21" bestFit="1" customWidth="1"/>
    <col min="4879" max="5118" width="8.85546875" style="21"/>
    <col min="5119" max="5119" width="18.42578125" style="21" customWidth="1"/>
    <col min="5120" max="5120" width="16" style="21" bestFit="1" customWidth="1"/>
    <col min="5121" max="5123" width="8.85546875" style="21"/>
    <col min="5124" max="5124" width="16.28515625" style="21" customWidth="1"/>
    <col min="5125" max="5125" width="19.85546875" style="21" customWidth="1"/>
    <col min="5126" max="5126" width="18" style="21" customWidth="1"/>
    <col min="5127" max="5129" width="8.85546875" style="21"/>
    <col min="5130" max="5130" width="14.5703125" style="21" customWidth="1"/>
    <col min="5131" max="5131" width="11.7109375" style="21" customWidth="1"/>
    <col min="5132" max="5132" width="8.85546875" style="21"/>
    <col min="5133" max="5134" width="12.42578125" style="21" bestFit="1" customWidth="1"/>
    <col min="5135" max="5374" width="8.85546875" style="21"/>
    <col min="5375" max="5375" width="18.42578125" style="21" customWidth="1"/>
    <col min="5376" max="5376" width="16" style="21" bestFit="1" customWidth="1"/>
    <col min="5377" max="5379" width="8.85546875" style="21"/>
    <col min="5380" max="5380" width="16.28515625" style="21" customWidth="1"/>
    <col min="5381" max="5381" width="19.85546875" style="21" customWidth="1"/>
    <col min="5382" max="5382" width="18" style="21" customWidth="1"/>
    <col min="5383" max="5385" width="8.85546875" style="21"/>
    <col min="5386" max="5386" width="14.5703125" style="21" customWidth="1"/>
    <col min="5387" max="5387" width="11.7109375" style="21" customWidth="1"/>
    <col min="5388" max="5388" width="8.85546875" style="21"/>
    <col min="5389" max="5390" width="12.42578125" style="21" bestFit="1" customWidth="1"/>
    <col min="5391" max="5630" width="8.85546875" style="21"/>
    <col min="5631" max="5631" width="18.42578125" style="21" customWidth="1"/>
    <col min="5632" max="5632" width="16" style="21" bestFit="1" customWidth="1"/>
    <col min="5633" max="5635" width="8.85546875" style="21"/>
    <col min="5636" max="5636" width="16.28515625" style="21" customWidth="1"/>
    <col min="5637" max="5637" width="19.85546875" style="21" customWidth="1"/>
    <col min="5638" max="5638" width="18" style="21" customWidth="1"/>
    <col min="5639" max="5641" width="8.85546875" style="21"/>
    <col min="5642" max="5642" width="14.5703125" style="21" customWidth="1"/>
    <col min="5643" max="5643" width="11.7109375" style="21" customWidth="1"/>
    <col min="5644" max="5644" width="8.85546875" style="21"/>
    <col min="5645" max="5646" width="12.42578125" style="21" bestFit="1" customWidth="1"/>
    <col min="5647" max="5886" width="8.85546875" style="21"/>
    <col min="5887" max="5887" width="18.42578125" style="21" customWidth="1"/>
    <col min="5888" max="5888" width="16" style="21" bestFit="1" customWidth="1"/>
    <col min="5889" max="5891" width="8.85546875" style="21"/>
    <col min="5892" max="5892" width="16.28515625" style="21" customWidth="1"/>
    <col min="5893" max="5893" width="19.85546875" style="21" customWidth="1"/>
    <col min="5894" max="5894" width="18" style="21" customWidth="1"/>
    <col min="5895" max="5897" width="8.85546875" style="21"/>
    <col min="5898" max="5898" width="14.5703125" style="21" customWidth="1"/>
    <col min="5899" max="5899" width="11.7109375" style="21" customWidth="1"/>
    <col min="5900" max="5900" width="8.85546875" style="21"/>
    <col min="5901" max="5902" width="12.42578125" style="21" bestFit="1" customWidth="1"/>
    <col min="5903" max="6142" width="8.85546875" style="21"/>
    <col min="6143" max="6143" width="18.42578125" style="21" customWidth="1"/>
    <col min="6144" max="6144" width="16" style="21" bestFit="1" customWidth="1"/>
    <col min="6145" max="6147" width="8.85546875" style="21"/>
    <col min="6148" max="6148" width="16.28515625" style="21" customWidth="1"/>
    <col min="6149" max="6149" width="19.85546875" style="21" customWidth="1"/>
    <col min="6150" max="6150" width="18" style="21" customWidth="1"/>
    <col min="6151" max="6153" width="8.85546875" style="21"/>
    <col min="6154" max="6154" width="14.5703125" style="21" customWidth="1"/>
    <col min="6155" max="6155" width="11.7109375" style="21" customWidth="1"/>
    <col min="6156" max="6156" width="8.85546875" style="21"/>
    <col min="6157" max="6158" width="12.42578125" style="21" bestFit="1" customWidth="1"/>
    <col min="6159" max="6398" width="8.85546875" style="21"/>
    <col min="6399" max="6399" width="18.42578125" style="21" customWidth="1"/>
    <col min="6400" max="6400" width="16" style="21" bestFit="1" customWidth="1"/>
    <col min="6401" max="6403" width="8.85546875" style="21"/>
    <col min="6404" max="6404" width="16.28515625" style="21" customWidth="1"/>
    <col min="6405" max="6405" width="19.85546875" style="21" customWidth="1"/>
    <col min="6406" max="6406" width="18" style="21" customWidth="1"/>
    <col min="6407" max="6409" width="8.85546875" style="21"/>
    <col min="6410" max="6410" width="14.5703125" style="21" customWidth="1"/>
    <col min="6411" max="6411" width="11.7109375" style="21" customWidth="1"/>
    <col min="6412" max="6412" width="8.85546875" style="21"/>
    <col min="6413" max="6414" width="12.42578125" style="21" bestFit="1" customWidth="1"/>
    <col min="6415" max="6654" width="8.85546875" style="21"/>
    <col min="6655" max="6655" width="18.42578125" style="21" customWidth="1"/>
    <col min="6656" max="6656" width="16" style="21" bestFit="1" customWidth="1"/>
    <col min="6657" max="6659" width="8.85546875" style="21"/>
    <col min="6660" max="6660" width="16.28515625" style="21" customWidth="1"/>
    <col min="6661" max="6661" width="19.85546875" style="21" customWidth="1"/>
    <col min="6662" max="6662" width="18" style="21" customWidth="1"/>
    <col min="6663" max="6665" width="8.85546875" style="21"/>
    <col min="6666" max="6666" width="14.5703125" style="21" customWidth="1"/>
    <col min="6667" max="6667" width="11.7109375" style="21" customWidth="1"/>
    <col min="6668" max="6668" width="8.85546875" style="21"/>
    <col min="6669" max="6670" width="12.42578125" style="21" bestFit="1" customWidth="1"/>
    <col min="6671" max="6910" width="8.85546875" style="21"/>
    <col min="6911" max="6911" width="18.42578125" style="21" customWidth="1"/>
    <col min="6912" max="6912" width="16" style="21" bestFit="1" customWidth="1"/>
    <col min="6913" max="6915" width="8.85546875" style="21"/>
    <col min="6916" max="6916" width="16.28515625" style="21" customWidth="1"/>
    <col min="6917" max="6917" width="19.85546875" style="21" customWidth="1"/>
    <col min="6918" max="6918" width="18" style="21" customWidth="1"/>
    <col min="6919" max="6921" width="8.85546875" style="21"/>
    <col min="6922" max="6922" width="14.5703125" style="21" customWidth="1"/>
    <col min="6923" max="6923" width="11.7109375" style="21" customWidth="1"/>
    <col min="6924" max="6924" width="8.85546875" style="21"/>
    <col min="6925" max="6926" width="12.42578125" style="21" bestFit="1" customWidth="1"/>
    <col min="6927" max="7166" width="8.85546875" style="21"/>
    <col min="7167" max="7167" width="18.42578125" style="21" customWidth="1"/>
    <col min="7168" max="7168" width="16" style="21" bestFit="1" customWidth="1"/>
    <col min="7169" max="7171" width="8.85546875" style="21"/>
    <col min="7172" max="7172" width="16.28515625" style="21" customWidth="1"/>
    <col min="7173" max="7173" width="19.85546875" style="21" customWidth="1"/>
    <col min="7174" max="7174" width="18" style="21" customWidth="1"/>
    <col min="7175" max="7177" width="8.85546875" style="21"/>
    <col min="7178" max="7178" width="14.5703125" style="21" customWidth="1"/>
    <col min="7179" max="7179" width="11.7109375" style="21" customWidth="1"/>
    <col min="7180" max="7180" width="8.85546875" style="21"/>
    <col min="7181" max="7182" width="12.42578125" style="21" bestFit="1" customWidth="1"/>
    <col min="7183" max="7422" width="8.85546875" style="21"/>
    <col min="7423" max="7423" width="18.42578125" style="21" customWidth="1"/>
    <col min="7424" max="7424" width="16" style="21" bestFit="1" customWidth="1"/>
    <col min="7425" max="7427" width="8.85546875" style="21"/>
    <col min="7428" max="7428" width="16.28515625" style="21" customWidth="1"/>
    <col min="7429" max="7429" width="19.85546875" style="21" customWidth="1"/>
    <col min="7430" max="7430" width="18" style="21" customWidth="1"/>
    <col min="7431" max="7433" width="8.85546875" style="21"/>
    <col min="7434" max="7434" width="14.5703125" style="21" customWidth="1"/>
    <col min="7435" max="7435" width="11.7109375" style="21" customWidth="1"/>
    <col min="7436" max="7436" width="8.85546875" style="21"/>
    <col min="7437" max="7438" width="12.42578125" style="21" bestFit="1" customWidth="1"/>
    <col min="7439" max="7678" width="8.85546875" style="21"/>
    <col min="7679" max="7679" width="18.42578125" style="21" customWidth="1"/>
    <col min="7680" max="7680" width="16" style="21" bestFit="1" customWidth="1"/>
    <col min="7681" max="7683" width="8.85546875" style="21"/>
    <col min="7684" max="7684" width="16.28515625" style="21" customWidth="1"/>
    <col min="7685" max="7685" width="19.85546875" style="21" customWidth="1"/>
    <col min="7686" max="7686" width="18" style="21" customWidth="1"/>
    <col min="7687" max="7689" width="8.85546875" style="21"/>
    <col min="7690" max="7690" width="14.5703125" style="21" customWidth="1"/>
    <col min="7691" max="7691" width="11.7109375" style="21" customWidth="1"/>
    <col min="7692" max="7692" width="8.85546875" style="21"/>
    <col min="7693" max="7694" width="12.42578125" style="21" bestFit="1" customWidth="1"/>
    <col min="7695" max="7934" width="8.85546875" style="21"/>
    <col min="7935" max="7935" width="18.42578125" style="21" customWidth="1"/>
    <col min="7936" max="7936" width="16" style="21" bestFit="1" customWidth="1"/>
    <col min="7937" max="7939" width="8.85546875" style="21"/>
    <col min="7940" max="7940" width="16.28515625" style="21" customWidth="1"/>
    <col min="7941" max="7941" width="19.85546875" style="21" customWidth="1"/>
    <col min="7942" max="7942" width="18" style="21" customWidth="1"/>
    <col min="7943" max="7945" width="8.85546875" style="21"/>
    <col min="7946" max="7946" width="14.5703125" style="21" customWidth="1"/>
    <col min="7947" max="7947" width="11.7109375" style="21" customWidth="1"/>
    <col min="7948" max="7948" width="8.85546875" style="21"/>
    <col min="7949" max="7950" width="12.42578125" style="21" bestFit="1" customWidth="1"/>
    <col min="7951" max="8190" width="8.85546875" style="21"/>
    <col min="8191" max="8191" width="18.42578125" style="21" customWidth="1"/>
    <col min="8192" max="8192" width="16" style="21" bestFit="1" customWidth="1"/>
    <col min="8193" max="8195" width="8.85546875" style="21"/>
    <col min="8196" max="8196" width="16.28515625" style="21" customWidth="1"/>
    <col min="8197" max="8197" width="19.85546875" style="21" customWidth="1"/>
    <col min="8198" max="8198" width="18" style="21" customWidth="1"/>
    <col min="8199" max="8201" width="8.85546875" style="21"/>
    <col min="8202" max="8202" width="14.5703125" style="21" customWidth="1"/>
    <col min="8203" max="8203" width="11.7109375" style="21" customWidth="1"/>
    <col min="8204" max="8204" width="8.85546875" style="21"/>
    <col min="8205" max="8206" width="12.42578125" style="21" bestFit="1" customWidth="1"/>
    <col min="8207" max="8446" width="8.85546875" style="21"/>
    <col min="8447" max="8447" width="18.42578125" style="21" customWidth="1"/>
    <col min="8448" max="8448" width="16" style="21" bestFit="1" customWidth="1"/>
    <col min="8449" max="8451" width="8.85546875" style="21"/>
    <col min="8452" max="8452" width="16.28515625" style="21" customWidth="1"/>
    <col min="8453" max="8453" width="19.85546875" style="21" customWidth="1"/>
    <col min="8454" max="8454" width="18" style="21" customWidth="1"/>
    <col min="8455" max="8457" width="8.85546875" style="21"/>
    <col min="8458" max="8458" width="14.5703125" style="21" customWidth="1"/>
    <col min="8459" max="8459" width="11.7109375" style="21" customWidth="1"/>
    <col min="8460" max="8460" width="8.85546875" style="21"/>
    <col min="8461" max="8462" width="12.42578125" style="21" bestFit="1" customWidth="1"/>
    <col min="8463" max="8702" width="8.85546875" style="21"/>
    <col min="8703" max="8703" width="18.42578125" style="21" customWidth="1"/>
    <col min="8704" max="8704" width="16" style="21" bestFit="1" customWidth="1"/>
    <col min="8705" max="8707" width="8.85546875" style="21"/>
    <col min="8708" max="8708" width="16.28515625" style="21" customWidth="1"/>
    <col min="8709" max="8709" width="19.85546875" style="21" customWidth="1"/>
    <col min="8710" max="8710" width="18" style="21" customWidth="1"/>
    <col min="8711" max="8713" width="8.85546875" style="21"/>
    <col min="8714" max="8714" width="14.5703125" style="21" customWidth="1"/>
    <col min="8715" max="8715" width="11.7109375" style="21" customWidth="1"/>
    <col min="8716" max="8716" width="8.85546875" style="21"/>
    <col min="8717" max="8718" width="12.42578125" style="21" bestFit="1" customWidth="1"/>
    <col min="8719" max="8958" width="8.85546875" style="21"/>
    <col min="8959" max="8959" width="18.42578125" style="21" customWidth="1"/>
    <col min="8960" max="8960" width="16" style="21" bestFit="1" customWidth="1"/>
    <col min="8961" max="8963" width="8.85546875" style="21"/>
    <col min="8964" max="8964" width="16.28515625" style="21" customWidth="1"/>
    <col min="8965" max="8965" width="19.85546875" style="21" customWidth="1"/>
    <col min="8966" max="8966" width="18" style="21" customWidth="1"/>
    <col min="8967" max="8969" width="8.85546875" style="21"/>
    <col min="8970" max="8970" width="14.5703125" style="21" customWidth="1"/>
    <col min="8971" max="8971" width="11.7109375" style="21" customWidth="1"/>
    <col min="8972" max="8972" width="8.85546875" style="21"/>
    <col min="8973" max="8974" width="12.42578125" style="21" bestFit="1" customWidth="1"/>
    <col min="8975" max="9214" width="8.85546875" style="21"/>
    <col min="9215" max="9215" width="18.42578125" style="21" customWidth="1"/>
    <col min="9216" max="9216" width="16" style="21" bestFit="1" customWidth="1"/>
    <col min="9217" max="9219" width="8.85546875" style="21"/>
    <col min="9220" max="9220" width="16.28515625" style="21" customWidth="1"/>
    <col min="9221" max="9221" width="19.85546875" style="21" customWidth="1"/>
    <col min="9222" max="9222" width="18" style="21" customWidth="1"/>
    <col min="9223" max="9225" width="8.85546875" style="21"/>
    <col min="9226" max="9226" width="14.5703125" style="21" customWidth="1"/>
    <col min="9227" max="9227" width="11.7109375" style="21" customWidth="1"/>
    <col min="9228" max="9228" width="8.85546875" style="21"/>
    <col min="9229" max="9230" width="12.42578125" style="21" bestFit="1" customWidth="1"/>
    <col min="9231" max="9470" width="8.85546875" style="21"/>
    <col min="9471" max="9471" width="18.42578125" style="21" customWidth="1"/>
    <col min="9472" max="9472" width="16" style="21" bestFit="1" customWidth="1"/>
    <col min="9473" max="9475" width="8.85546875" style="21"/>
    <col min="9476" max="9476" width="16.28515625" style="21" customWidth="1"/>
    <col min="9477" max="9477" width="19.85546875" style="21" customWidth="1"/>
    <col min="9478" max="9478" width="18" style="21" customWidth="1"/>
    <col min="9479" max="9481" width="8.85546875" style="21"/>
    <col min="9482" max="9482" width="14.5703125" style="21" customWidth="1"/>
    <col min="9483" max="9483" width="11.7109375" style="21" customWidth="1"/>
    <col min="9484" max="9484" width="8.85546875" style="21"/>
    <col min="9485" max="9486" width="12.42578125" style="21" bestFit="1" customWidth="1"/>
    <col min="9487" max="9726" width="8.85546875" style="21"/>
    <col min="9727" max="9727" width="18.42578125" style="21" customWidth="1"/>
    <col min="9728" max="9728" width="16" style="21" bestFit="1" customWidth="1"/>
    <col min="9729" max="9731" width="8.85546875" style="21"/>
    <col min="9732" max="9732" width="16.28515625" style="21" customWidth="1"/>
    <col min="9733" max="9733" width="19.85546875" style="21" customWidth="1"/>
    <col min="9734" max="9734" width="18" style="21" customWidth="1"/>
    <col min="9735" max="9737" width="8.85546875" style="21"/>
    <col min="9738" max="9738" width="14.5703125" style="21" customWidth="1"/>
    <col min="9739" max="9739" width="11.7109375" style="21" customWidth="1"/>
    <col min="9740" max="9740" width="8.85546875" style="21"/>
    <col min="9741" max="9742" width="12.42578125" style="21" bestFit="1" customWidth="1"/>
    <col min="9743" max="9982" width="8.85546875" style="21"/>
    <col min="9983" max="9983" width="18.42578125" style="21" customWidth="1"/>
    <col min="9984" max="9984" width="16" style="21" bestFit="1" customWidth="1"/>
    <col min="9985" max="9987" width="8.85546875" style="21"/>
    <col min="9988" max="9988" width="16.28515625" style="21" customWidth="1"/>
    <col min="9989" max="9989" width="19.85546875" style="21" customWidth="1"/>
    <col min="9990" max="9990" width="18" style="21" customWidth="1"/>
    <col min="9991" max="9993" width="8.85546875" style="21"/>
    <col min="9994" max="9994" width="14.5703125" style="21" customWidth="1"/>
    <col min="9995" max="9995" width="11.7109375" style="21" customWidth="1"/>
    <col min="9996" max="9996" width="8.85546875" style="21"/>
    <col min="9997" max="9998" width="12.42578125" style="21" bestFit="1" customWidth="1"/>
    <col min="9999" max="10238" width="8.85546875" style="21"/>
    <col min="10239" max="10239" width="18.42578125" style="21" customWidth="1"/>
    <col min="10240" max="10240" width="16" style="21" bestFit="1" customWidth="1"/>
    <col min="10241" max="10243" width="8.85546875" style="21"/>
    <col min="10244" max="10244" width="16.28515625" style="21" customWidth="1"/>
    <col min="10245" max="10245" width="19.85546875" style="21" customWidth="1"/>
    <col min="10246" max="10246" width="18" style="21" customWidth="1"/>
    <col min="10247" max="10249" width="8.85546875" style="21"/>
    <col min="10250" max="10250" width="14.5703125" style="21" customWidth="1"/>
    <col min="10251" max="10251" width="11.7109375" style="21" customWidth="1"/>
    <col min="10252" max="10252" width="8.85546875" style="21"/>
    <col min="10253" max="10254" width="12.42578125" style="21" bestFit="1" customWidth="1"/>
    <col min="10255" max="10494" width="8.85546875" style="21"/>
    <col min="10495" max="10495" width="18.42578125" style="21" customWidth="1"/>
    <col min="10496" max="10496" width="16" style="21" bestFit="1" customWidth="1"/>
    <col min="10497" max="10499" width="8.85546875" style="21"/>
    <col min="10500" max="10500" width="16.28515625" style="21" customWidth="1"/>
    <col min="10501" max="10501" width="19.85546875" style="21" customWidth="1"/>
    <col min="10502" max="10502" width="18" style="21" customWidth="1"/>
    <col min="10503" max="10505" width="8.85546875" style="21"/>
    <col min="10506" max="10506" width="14.5703125" style="21" customWidth="1"/>
    <col min="10507" max="10507" width="11.7109375" style="21" customWidth="1"/>
    <col min="10508" max="10508" width="8.85546875" style="21"/>
    <col min="10509" max="10510" width="12.42578125" style="21" bestFit="1" customWidth="1"/>
    <col min="10511" max="10750" width="8.85546875" style="21"/>
    <col min="10751" max="10751" width="18.42578125" style="21" customWidth="1"/>
    <col min="10752" max="10752" width="16" style="21" bestFit="1" customWidth="1"/>
    <col min="10753" max="10755" width="8.85546875" style="21"/>
    <col min="10756" max="10756" width="16.28515625" style="21" customWidth="1"/>
    <col min="10757" max="10757" width="19.85546875" style="21" customWidth="1"/>
    <col min="10758" max="10758" width="18" style="21" customWidth="1"/>
    <col min="10759" max="10761" width="8.85546875" style="21"/>
    <col min="10762" max="10762" width="14.5703125" style="21" customWidth="1"/>
    <col min="10763" max="10763" width="11.7109375" style="21" customWidth="1"/>
    <col min="10764" max="10764" width="8.85546875" style="21"/>
    <col min="10765" max="10766" width="12.42578125" style="21" bestFit="1" customWidth="1"/>
    <col min="10767" max="11006" width="8.85546875" style="21"/>
    <col min="11007" max="11007" width="18.42578125" style="21" customWidth="1"/>
    <col min="11008" max="11008" width="16" style="21" bestFit="1" customWidth="1"/>
    <col min="11009" max="11011" width="8.85546875" style="21"/>
    <col min="11012" max="11012" width="16.28515625" style="21" customWidth="1"/>
    <col min="11013" max="11013" width="19.85546875" style="21" customWidth="1"/>
    <col min="11014" max="11014" width="18" style="21" customWidth="1"/>
    <col min="11015" max="11017" width="8.85546875" style="21"/>
    <col min="11018" max="11018" width="14.5703125" style="21" customWidth="1"/>
    <col min="11019" max="11019" width="11.7109375" style="21" customWidth="1"/>
    <col min="11020" max="11020" width="8.85546875" style="21"/>
    <col min="11021" max="11022" width="12.42578125" style="21" bestFit="1" customWidth="1"/>
    <col min="11023" max="11262" width="8.85546875" style="21"/>
    <col min="11263" max="11263" width="18.42578125" style="21" customWidth="1"/>
    <col min="11264" max="11264" width="16" style="21" bestFit="1" customWidth="1"/>
    <col min="11265" max="11267" width="8.85546875" style="21"/>
    <col min="11268" max="11268" width="16.28515625" style="21" customWidth="1"/>
    <col min="11269" max="11269" width="19.85546875" style="21" customWidth="1"/>
    <col min="11270" max="11270" width="18" style="21" customWidth="1"/>
    <col min="11271" max="11273" width="8.85546875" style="21"/>
    <col min="11274" max="11274" width="14.5703125" style="21" customWidth="1"/>
    <col min="11275" max="11275" width="11.7109375" style="21" customWidth="1"/>
    <col min="11276" max="11276" width="8.85546875" style="21"/>
    <col min="11277" max="11278" width="12.42578125" style="21" bestFit="1" customWidth="1"/>
    <col min="11279" max="11518" width="8.85546875" style="21"/>
    <col min="11519" max="11519" width="18.42578125" style="21" customWidth="1"/>
    <col min="11520" max="11520" width="16" style="21" bestFit="1" customWidth="1"/>
    <col min="11521" max="11523" width="8.85546875" style="21"/>
    <col min="11524" max="11524" width="16.28515625" style="21" customWidth="1"/>
    <col min="11525" max="11525" width="19.85546875" style="21" customWidth="1"/>
    <col min="11526" max="11526" width="18" style="21" customWidth="1"/>
    <col min="11527" max="11529" width="8.85546875" style="21"/>
    <col min="11530" max="11530" width="14.5703125" style="21" customWidth="1"/>
    <col min="11531" max="11531" width="11.7109375" style="21" customWidth="1"/>
    <col min="11532" max="11532" width="8.85546875" style="21"/>
    <col min="11533" max="11534" width="12.42578125" style="21" bestFit="1" customWidth="1"/>
    <col min="11535" max="11774" width="8.85546875" style="21"/>
    <col min="11775" max="11775" width="18.42578125" style="21" customWidth="1"/>
    <col min="11776" max="11776" width="16" style="21" bestFit="1" customWidth="1"/>
    <col min="11777" max="11779" width="8.85546875" style="21"/>
    <col min="11780" max="11780" width="16.28515625" style="21" customWidth="1"/>
    <col min="11781" max="11781" width="19.85546875" style="21" customWidth="1"/>
    <col min="11782" max="11782" width="18" style="21" customWidth="1"/>
    <col min="11783" max="11785" width="8.85546875" style="21"/>
    <col min="11786" max="11786" width="14.5703125" style="21" customWidth="1"/>
    <col min="11787" max="11787" width="11.7109375" style="21" customWidth="1"/>
    <col min="11788" max="11788" width="8.85546875" style="21"/>
    <col min="11789" max="11790" width="12.42578125" style="21" bestFit="1" customWidth="1"/>
    <col min="11791" max="12030" width="8.85546875" style="21"/>
    <col min="12031" max="12031" width="18.42578125" style="21" customWidth="1"/>
    <col min="12032" max="12032" width="16" style="21" bestFit="1" customWidth="1"/>
    <col min="12033" max="12035" width="8.85546875" style="21"/>
    <col min="12036" max="12036" width="16.28515625" style="21" customWidth="1"/>
    <col min="12037" max="12037" width="19.85546875" style="21" customWidth="1"/>
    <col min="12038" max="12038" width="18" style="21" customWidth="1"/>
    <col min="12039" max="12041" width="8.85546875" style="21"/>
    <col min="12042" max="12042" width="14.5703125" style="21" customWidth="1"/>
    <col min="12043" max="12043" width="11.7109375" style="21" customWidth="1"/>
    <col min="12044" max="12044" width="8.85546875" style="21"/>
    <col min="12045" max="12046" width="12.42578125" style="21" bestFit="1" customWidth="1"/>
    <col min="12047" max="12286" width="8.85546875" style="21"/>
    <col min="12287" max="12287" width="18.42578125" style="21" customWidth="1"/>
    <col min="12288" max="12288" width="16" style="21" bestFit="1" customWidth="1"/>
    <col min="12289" max="12291" width="8.85546875" style="21"/>
    <col min="12292" max="12292" width="16.28515625" style="21" customWidth="1"/>
    <col min="12293" max="12293" width="19.85546875" style="21" customWidth="1"/>
    <col min="12294" max="12294" width="18" style="21" customWidth="1"/>
    <col min="12295" max="12297" width="8.85546875" style="21"/>
    <col min="12298" max="12298" width="14.5703125" style="21" customWidth="1"/>
    <col min="12299" max="12299" width="11.7109375" style="21" customWidth="1"/>
    <col min="12300" max="12300" width="8.85546875" style="21"/>
    <col min="12301" max="12302" width="12.42578125" style="21" bestFit="1" customWidth="1"/>
    <col min="12303" max="12542" width="8.85546875" style="21"/>
    <col min="12543" max="12543" width="18.42578125" style="21" customWidth="1"/>
    <col min="12544" max="12544" width="16" style="21" bestFit="1" customWidth="1"/>
    <col min="12545" max="12547" width="8.85546875" style="21"/>
    <col min="12548" max="12548" width="16.28515625" style="21" customWidth="1"/>
    <col min="12549" max="12549" width="19.85546875" style="21" customWidth="1"/>
    <col min="12550" max="12550" width="18" style="21" customWidth="1"/>
    <col min="12551" max="12553" width="8.85546875" style="21"/>
    <col min="12554" max="12554" width="14.5703125" style="21" customWidth="1"/>
    <col min="12555" max="12555" width="11.7109375" style="21" customWidth="1"/>
    <col min="12556" max="12556" width="8.85546875" style="21"/>
    <col min="12557" max="12558" width="12.42578125" style="21" bestFit="1" customWidth="1"/>
    <col min="12559" max="12798" width="8.85546875" style="21"/>
    <col min="12799" max="12799" width="18.42578125" style="21" customWidth="1"/>
    <col min="12800" max="12800" width="16" style="21" bestFit="1" customWidth="1"/>
    <col min="12801" max="12803" width="8.85546875" style="21"/>
    <col min="12804" max="12804" width="16.28515625" style="21" customWidth="1"/>
    <col min="12805" max="12805" width="19.85546875" style="21" customWidth="1"/>
    <col min="12806" max="12806" width="18" style="21" customWidth="1"/>
    <col min="12807" max="12809" width="8.85546875" style="21"/>
    <col min="12810" max="12810" width="14.5703125" style="21" customWidth="1"/>
    <col min="12811" max="12811" width="11.7109375" style="21" customWidth="1"/>
    <col min="12812" max="12812" width="8.85546875" style="21"/>
    <col min="12813" max="12814" width="12.42578125" style="21" bestFit="1" customWidth="1"/>
    <col min="12815" max="13054" width="8.85546875" style="21"/>
    <col min="13055" max="13055" width="18.42578125" style="21" customWidth="1"/>
    <col min="13056" max="13056" width="16" style="21" bestFit="1" customWidth="1"/>
    <col min="13057" max="13059" width="8.85546875" style="21"/>
    <col min="13060" max="13060" width="16.28515625" style="21" customWidth="1"/>
    <col min="13061" max="13061" width="19.85546875" style="21" customWidth="1"/>
    <col min="13062" max="13062" width="18" style="21" customWidth="1"/>
    <col min="13063" max="13065" width="8.85546875" style="21"/>
    <col min="13066" max="13066" width="14.5703125" style="21" customWidth="1"/>
    <col min="13067" max="13067" width="11.7109375" style="21" customWidth="1"/>
    <col min="13068" max="13068" width="8.85546875" style="21"/>
    <col min="13069" max="13070" width="12.42578125" style="21" bestFit="1" customWidth="1"/>
    <col min="13071" max="13310" width="8.85546875" style="21"/>
    <col min="13311" max="13311" width="18.42578125" style="21" customWidth="1"/>
    <col min="13312" max="13312" width="16" style="21" bestFit="1" customWidth="1"/>
    <col min="13313" max="13315" width="8.85546875" style="21"/>
    <col min="13316" max="13316" width="16.28515625" style="21" customWidth="1"/>
    <col min="13317" max="13317" width="19.85546875" style="21" customWidth="1"/>
    <col min="13318" max="13318" width="18" style="21" customWidth="1"/>
    <col min="13319" max="13321" width="8.85546875" style="21"/>
    <col min="13322" max="13322" width="14.5703125" style="21" customWidth="1"/>
    <col min="13323" max="13323" width="11.7109375" style="21" customWidth="1"/>
    <col min="13324" max="13324" width="8.85546875" style="21"/>
    <col min="13325" max="13326" width="12.42578125" style="21" bestFit="1" customWidth="1"/>
    <col min="13327" max="13566" width="8.85546875" style="21"/>
    <col min="13567" max="13567" width="18.42578125" style="21" customWidth="1"/>
    <col min="13568" max="13568" width="16" style="21" bestFit="1" customWidth="1"/>
    <col min="13569" max="13571" width="8.85546875" style="21"/>
    <col min="13572" max="13572" width="16.28515625" style="21" customWidth="1"/>
    <col min="13573" max="13573" width="19.85546875" style="21" customWidth="1"/>
    <col min="13574" max="13574" width="18" style="21" customWidth="1"/>
    <col min="13575" max="13577" width="8.85546875" style="21"/>
    <col min="13578" max="13578" width="14.5703125" style="21" customWidth="1"/>
    <col min="13579" max="13579" width="11.7109375" style="21" customWidth="1"/>
    <col min="13580" max="13580" width="8.85546875" style="21"/>
    <col min="13581" max="13582" width="12.42578125" style="21" bestFit="1" customWidth="1"/>
    <col min="13583" max="13822" width="8.85546875" style="21"/>
    <col min="13823" max="13823" width="18.42578125" style="21" customWidth="1"/>
    <col min="13824" max="13824" width="16" style="21" bestFit="1" customWidth="1"/>
    <col min="13825" max="13827" width="8.85546875" style="21"/>
    <col min="13828" max="13828" width="16.28515625" style="21" customWidth="1"/>
    <col min="13829" max="13829" width="19.85546875" style="21" customWidth="1"/>
    <col min="13830" max="13830" width="18" style="21" customWidth="1"/>
    <col min="13831" max="13833" width="8.85546875" style="21"/>
    <col min="13834" max="13834" width="14.5703125" style="21" customWidth="1"/>
    <col min="13835" max="13835" width="11.7109375" style="21" customWidth="1"/>
    <col min="13836" max="13836" width="8.85546875" style="21"/>
    <col min="13837" max="13838" width="12.42578125" style="21" bestFit="1" customWidth="1"/>
    <col min="13839" max="14078" width="8.85546875" style="21"/>
    <col min="14079" max="14079" width="18.42578125" style="21" customWidth="1"/>
    <col min="14080" max="14080" width="16" style="21" bestFit="1" customWidth="1"/>
    <col min="14081" max="14083" width="8.85546875" style="21"/>
    <col min="14084" max="14084" width="16.28515625" style="21" customWidth="1"/>
    <col min="14085" max="14085" width="19.85546875" style="21" customWidth="1"/>
    <col min="14086" max="14086" width="18" style="21" customWidth="1"/>
    <col min="14087" max="14089" width="8.85546875" style="21"/>
    <col min="14090" max="14090" width="14.5703125" style="21" customWidth="1"/>
    <col min="14091" max="14091" width="11.7109375" style="21" customWidth="1"/>
    <col min="14092" max="14092" width="8.85546875" style="21"/>
    <col min="14093" max="14094" width="12.42578125" style="21" bestFit="1" customWidth="1"/>
    <col min="14095" max="14334" width="8.85546875" style="21"/>
    <col min="14335" max="14335" width="18.42578125" style="21" customWidth="1"/>
    <col min="14336" max="14336" width="16" style="21" bestFit="1" customWidth="1"/>
    <col min="14337" max="14339" width="8.85546875" style="21"/>
    <col min="14340" max="14340" width="16.28515625" style="21" customWidth="1"/>
    <col min="14341" max="14341" width="19.85546875" style="21" customWidth="1"/>
    <col min="14342" max="14342" width="18" style="21" customWidth="1"/>
    <col min="14343" max="14345" width="8.85546875" style="21"/>
    <col min="14346" max="14346" width="14.5703125" style="21" customWidth="1"/>
    <col min="14347" max="14347" width="11.7109375" style="21" customWidth="1"/>
    <col min="14348" max="14348" width="8.85546875" style="21"/>
    <col min="14349" max="14350" width="12.42578125" style="21" bestFit="1" customWidth="1"/>
    <col min="14351" max="14590" width="8.85546875" style="21"/>
    <col min="14591" max="14591" width="18.42578125" style="21" customWidth="1"/>
    <col min="14592" max="14592" width="16" style="21" bestFit="1" customWidth="1"/>
    <col min="14593" max="14595" width="8.85546875" style="21"/>
    <col min="14596" max="14596" width="16.28515625" style="21" customWidth="1"/>
    <col min="14597" max="14597" width="19.85546875" style="21" customWidth="1"/>
    <col min="14598" max="14598" width="18" style="21" customWidth="1"/>
    <col min="14599" max="14601" width="8.85546875" style="21"/>
    <col min="14602" max="14602" width="14.5703125" style="21" customWidth="1"/>
    <col min="14603" max="14603" width="11.7109375" style="21" customWidth="1"/>
    <col min="14604" max="14604" width="8.85546875" style="21"/>
    <col min="14605" max="14606" width="12.42578125" style="21" bestFit="1" customWidth="1"/>
    <col min="14607" max="14846" width="8.85546875" style="21"/>
    <col min="14847" max="14847" width="18.42578125" style="21" customWidth="1"/>
    <col min="14848" max="14848" width="16" style="21" bestFit="1" customWidth="1"/>
    <col min="14849" max="14851" width="8.85546875" style="21"/>
    <col min="14852" max="14852" width="16.28515625" style="21" customWidth="1"/>
    <col min="14853" max="14853" width="19.85546875" style="21" customWidth="1"/>
    <col min="14854" max="14854" width="18" style="21" customWidth="1"/>
    <col min="14855" max="14857" width="8.85546875" style="21"/>
    <col min="14858" max="14858" width="14.5703125" style="21" customWidth="1"/>
    <col min="14859" max="14859" width="11.7109375" style="21" customWidth="1"/>
    <col min="14860" max="14860" width="8.85546875" style="21"/>
    <col min="14861" max="14862" width="12.42578125" style="21" bestFit="1" customWidth="1"/>
    <col min="14863" max="15102" width="8.85546875" style="21"/>
    <col min="15103" max="15103" width="18.42578125" style="21" customWidth="1"/>
    <col min="15104" max="15104" width="16" style="21" bestFit="1" customWidth="1"/>
    <col min="15105" max="15107" width="8.85546875" style="21"/>
    <col min="15108" max="15108" width="16.28515625" style="21" customWidth="1"/>
    <col min="15109" max="15109" width="19.85546875" style="21" customWidth="1"/>
    <col min="15110" max="15110" width="18" style="21" customWidth="1"/>
    <col min="15111" max="15113" width="8.85546875" style="21"/>
    <col min="15114" max="15114" width="14.5703125" style="21" customWidth="1"/>
    <col min="15115" max="15115" width="11.7109375" style="21" customWidth="1"/>
    <col min="15116" max="15116" width="8.85546875" style="21"/>
    <col min="15117" max="15118" width="12.42578125" style="21" bestFit="1" customWidth="1"/>
    <col min="15119" max="15358" width="8.85546875" style="21"/>
    <col min="15359" max="15359" width="18.42578125" style="21" customWidth="1"/>
    <col min="15360" max="15360" width="16" style="21" bestFit="1" customWidth="1"/>
    <col min="15361" max="15363" width="8.85546875" style="21"/>
    <col min="15364" max="15364" width="16.28515625" style="21" customWidth="1"/>
    <col min="15365" max="15365" width="19.85546875" style="21" customWidth="1"/>
    <col min="15366" max="15366" width="18" style="21" customWidth="1"/>
    <col min="15367" max="15369" width="8.85546875" style="21"/>
    <col min="15370" max="15370" width="14.5703125" style="21" customWidth="1"/>
    <col min="15371" max="15371" width="11.7109375" style="21" customWidth="1"/>
    <col min="15372" max="15372" width="8.85546875" style="21"/>
    <col min="15373" max="15374" width="12.42578125" style="21" bestFit="1" customWidth="1"/>
    <col min="15375" max="15614" width="8.85546875" style="21"/>
    <col min="15615" max="15615" width="18.42578125" style="21" customWidth="1"/>
    <col min="15616" max="15616" width="16" style="21" bestFit="1" customWidth="1"/>
    <col min="15617" max="15619" width="8.85546875" style="21"/>
    <col min="15620" max="15620" width="16.28515625" style="21" customWidth="1"/>
    <col min="15621" max="15621" width="19.85546875" style="21" customWidth="1"/>
    <col min="15622" max="15622" width="18" style="21" customWidth="1"/>
    <col min="15623" max="15625" width="8.85546875" style="21"/>
    <col min="15626" max="15626" width="14.5703125" style="21" customWidth="1"/>
    <col min="15627" max="15627" width="11.7109375" style="21" customWidth="1"/>
    <col min="15628" max="15628" width="8.85546875" style="21"/>
    <col min="15629" max="15630" width="12.42578125" style="21" bestFit="1" customWidth="1"/>
    <col min="15631" max="15870" width="8.85546875" style="21"/>
    <col min="15871" max="15871" width="18.42578125" style="21" customWidth="1"/>
    <col min="15872" max="15872" width="16" style="21" bestFit="1" customWidth="1"/>
    <col min="15873" max="15875" width="8.85546875" style="21"/>
    <col min="15876" max="15876" width="16.28515625" style="21" customWidth="1"/>
    <col min="15877" max="15877" width="19.85546875" style="21" customWidth="1"/>
    <col min="15878" max="15878" width="18" style="21" customWidth="1"/>
    <col min="15879" max="15881" width="8.85546875" style="21"/>
    <col min="15882" max="15882" width="14.5703125" style="21" customWidth="1"/>
    <col min="15883" max="15883" width="11.7109375" style="21" customWidth="1"/>
    <col min="15884" max="15884" width="8.85546875" style="21"/>
    <col min="15885" max="15886" width="12.42578125" style="21" bestFit="1" customWidth="1"/>
    <col min="15887" max="16126" width="8.85546875" style="21"/>
    <col min="16127" max="16127" width="18.42578125" style="21" customWidth="1"/>
    <col min="16128" max="16128" width="16" style="21" bestFit="1" customWidth="1"/>
    <col min="16129" max="16131" width="8.85546875" style="21"/>
    <col min="16132" max="16132" width="16.28515625" style="21" customWidth="1"/>
    <col min="16133" max="16133" width="19.85546875" style="21" customWidth="1"/>
    <col min="16134" max="16134" width="18" style="21" customWidth="1"/>
    <col min="16135" max="16137" width="8.85546875" style="21"/>
    <col min="16138" max="16138" width="14.5703125" style="21" customWidth="1"/>
    <col min="16139" max="16139" width="11.7109375" style="21" customWidth="1"/>
    <col min="16140" max="16140" width="8.85546875" style="21"/>
    <col min="16141" max="16142" width="12.42578125" style="21" bestFit="1" customWidth="1"/>
    <col min="16143" max="16384" width="8.85546875" style="21"/>
  </cols>
  <sheetData>
    <row r="1" spans="1:9" s="14" customFormat="1" ht="20.25" x14ac:dyDescent="0.3">
      <c r="A1" s="13" t="s">
        <v>161</v>
      </c>
    </row>
    <row r="2" spans="1:9" s="15" customFormat="1" ht="13.5" customHeight="1" x14ac:dyDescent="0.2">
      <c r="A2" s="15" t="s">
        <v>145</v>
      </c>
    </row>
    <row r="3" spans="1:9" s="15" customFormat="1" ht="13.5" customHeight="1" x14ac:dyDescent="0.2">
      <c r="A3" s="16"/>
    </row>
    <row r="4" spans="1:9" x14ac:dyDescent="0.2">
      <c r="A4" s="60" t="s">
        <v>108</v>
      </c>
      <c r="B4" s="76">
        <f>Berekening!E40</f>
        <v>27030</v>
      </c>
      <c r="D4" s="60" t="s">
        <v>162</v>
      </c>
      <c r="E4" s="75"/>
      <c r="G4" s="22"/>
      <c r="H4" s="22"/>
    </row>
    <row r="5" spans="1:9" x14ac:dyDescent="0.2">
      <c r="A5" s="60" t="s">
        <v>163</v>
      </c>
      <c r="B5" s="59">
        <f>B6*12</f>
        <v>300</v>
      </c>
      <c r="D5" s="61" t="s">
        <v>164</v>
      </c>
      <c r="E5" s="74">
        <f>MAX(B4*1.5%,E14)+(E13*Quotiteiten!C4)</f>
        <v>606</v>
      </c>
      <c r="G5" s="22"/>
      <c r="H5" s="22"/>
    </row>
    <row r="6" spans="1:9" x14ac:dyDescent="0.2">
      <c r="A6" s="60" t="s">
        <v>165</v>
      </c>
      <c r="B6" s="161">
        <v>25</v>
      </c>
      <c r="D6" s="133" t="s">
        <v>166</v>
      </c>
      <c r="E6" s="134">
        <f>E5/Quotiteiten!D4</f>
        <v>0.63124999999999998</v>
      </c>
      <c r="G6" s="22"/>
      <c r="H6" s="22"/>
    </row>
    <row r="7" spans="1:9" x14ac:dyDescent="0.2">
      <c r="A7" s="60" t="s">
        <v>167</v>
      </c>
      <c r="B7" s="77">
        <f>((1+B8)^(1/12))-1</f>
        <v>1.2414877164492744E-3</v>
      </c>
      <c r="G7" s="22"/>
      <c r="H7" s="22"/>
    </row>
    <row r="8" spans="1:9" x14ac:dyDescent="0.2">
      <c r="A8" s="60" t="s">
        <v>168</v>
      </c>
      <c r="B8" s="163">
        <v>1.4999999999999999E-2</v>
      </c>
      <c r="D8" s="61" t="s">
        <v>169</v>
      </c>
      <c r="E8" s="165">
        <f>MAX(B4*3.5%,E14)+(E13*Quotiteiten!C4)</f>
        <v>1006.0500000000001</v>
      </c>
      <c r="G8" s="22"/>
      <c r="H8" s="22"/>
    </row>
    <row r="9" spans="1:9" x14ac:dyDescent="0.2">
      <c r="A9" s="60" t="s">
        <v>170</v>
      </c>
      <c r="B9" s="76">
        <f>(B4*((1+B8)^(1/12)-1)*((1+B8)^(1/12))^B5)/(((1+B8)^(1/12))^B5-1)</f>
        <v>107.97311028779086</v>
      </c>
      <c r="D9" s="133" t="s">
        <v>171</v>
      </c>
      <c r="E9" s="136">
        <f>E8/Quotiteiten!D4</f>
        <v>1.0479687500000001</v>
      </c>
      <c r="F9" s="84"/>
      <c r="G9" s="22"/>
      <c r="H9" s="22"/>
    </row>
    <row r="10" spans="1:9" x14ac:dyDescent="0.2">
      <c r="A10" s="60" t="s">
        <v>172</v>
      </c>
      <c r="B10" s="76">
        <f>(B9*B5)-B4</f>
        <v>5361.9330863372597</v>
      </c>
      <c r="D10" s="84"/>
      <c r="E10" s="84"/>
      <c r="F10" s="84"/>
    </row>
    <row r="11" spans="1:9" x14ac:dyDescent="0.2">
      <c r="A11" s="118"/>
      <c r="B11" s="117"/>
      <c r="D11" s="133" t="s">
        <v>173</v>
      </c>
      <c r="E11" s="165">
        <f>MAX(B4*2.5%,E14)+(E13*Quotiteiten!C7)</f>
        <v>675.75</v>
      </c>
      <c r="F11" s="84"/>
    </row>
    <row r="12" spans="1:9" x14ac:dyDescent="0.2">
      <c r="A12" s="60" t="s">
        <v>174</v>
      </c>
      <c r="B12" s="76">
        <f>B9*B5</f>
        <v>32391.93308633726</v>
      </c>
      <c r="F12" s="84"/>
    </row>
    <row r="13" spans="1:9" x14ac:dyDescent="0.2">
      <c r="A13" s="61" t="s">
        <v>175</v>
      </c>
      <c r="B13" s="74">
        <f>B4</f>
        <v>27030</v>
      </c>
      <c r="D13" s="21" t="s">
        <v>176</v>
      </c>
      <c r="E13" s="159">
        <v>6</v>
      </c>
      <c r="F13" s="84"/>
    </row>
    <row r="14" spans="1:9" x14ac:dyDescent="0.2">
      <c r="A14" s="61" t="s">
        <v>177</v>
      </c>
      <c r="B14" s="74">
        <f>B12-B13</f>
        <v>5361.9330863372597</v>
      </c>
      <c r="D14" s="21" t="s">
        <v>178</v>
      </c>
      <c r="E14" s="159">
        <v>546</v>
      </c>
      <c r="F14" s="84"/>
    </row>
    <row r="15" spans="1:9" x14ac:dyDescent="0.2">
      <c r="B15" s="33"/>
      <c r="C15" s="34"/>
    </row>
    <row r="16" spans="1:9" ht="30" customHeight="1" x14ac:dyDescent="0.2">
      <c r="A16" s="18" t="s">
        <v>179</v>
      </c>
      <c r="B16" s="18" t="s">
        <v>180</v>
      </c>
      <c r="C16" s="18" t="s">
        <v>181</v>
      </c>
      <c r="D16" s="18" t="s">
        <v>177</v>
      </c>
      <c r="E16" s="18" t="s">
        <v>182</v>
      </c>
      <c r="I16" s="24"/>
    </row>
    <row r="17" spans="1:5" s="22" customFormat="1" x14ac:dyDescent="0.2">
      <c r="A17" s="22">
        <v>0</v>
      </c>
      <c r="B17" s="23"/>
      <c r="C17" s="23"/>
      <c r="D17" s="23"/>
      <c r="E17" s="32">
        <f>B4</f>
        <v>27030</v>
      </c>
    </row>
    <row r="18" spans="1:5" s="22" customFormat="1" x14ac:dyDescent="0.2">
      <c r="A18" s="22">
        <v>1</v>
      </c>
      <c r="B18" s="23">
        <f>B$9</f>
        <v>107.97311028779086</v>
      </c>
      <c r="C18" s="23">
        <f>B18-D18</f>
        <v>74.415697312166969</v>
      </c>
      <c r="D18" s="23">
        <f t="shared" ref="D18:D81" si="0">E17*B$7</f>
        <v>33.557412975623883</v>
      </c>
      <c r="E18" s="31">
        <f>E17-C18</f>
        <v>26955.584302687832</v>
      </c>
    </row>
    <row r="19" spans="1:5" s="22" customFormat="1" x14ac:dyDescent="0.2">
      <c r="A19" s="22">
        <v>2</v>
      </c>
      <c r="B19" s="23">
        <f t="shared" ref="B19:B82" si="1">B$9</f>
        <v>107.97311028779086</v>
      </c>
      <c r="C19" s="23">
        <f t="shared" ref="C19:C82" si="2">B19-D19</f>
        <v>74.508083486291042</v>
      </c>
      <c r="D19" s="23">
        <f t="shared" si="0"/>
        <v>33.465026801499825</v>
      </c>
      <c r="E19" s="31">
        <f t="shared" ref="E19:E82" si="3">E18-C19</f>
        <v>26881.076219201543</v>
      </c>
    </row>
    <row r="20" spans="1:5" s="22" customFormat="1" x14ac:dyDescent="0.2">
      <c r="A20" s="22">
        <v>3</v>
      </c>
      <c r="B20" s="23">
        <f t="shared" si="1"/>
        <v>107.97311028779086</v>
      </c>
      <c r="C20" s="23">
        <f t="shared" si="2"/>
        <v>74.600584356715444</v>
      </c>
      <c r="D20" s="23">
        <f t="shared" si="0"/>
        <v>33.372525931075415</v>
      </c>
      <c r="E20" s="31">
        <f t="shared" si="3"/>
        <v>26806.475634844828</v>
      </c>
    </row>
    <row r="21" spans="1:5" s="22" customFormat="1" x14ac:dyDescent="0.2">
      <c r="A21" s="22">
        <v>4</v>
      </c>
      <c r="B21" s="23">
        <f t="shared" si="1"/>
        <v>107.97311028779086</v>
      </c>
      <c r="C21" s="23">
        <f t="shared" si="2"/>
        <v>74.693200065834247</v>
      </c>
      <c r="D21" s="23">
        <f t="shared" si="0"/>
        <v>33.279910221956619</v>
      </c>
      <c r="E21" s="31">
        <f t="shared" si="3"/>
        <v>26731.782434778994</v>
      </c>
    </row>
    <row r="22" spans="1:5" s="22" customFormat="1" x14ac:dyDescent="0.2">
      <c r="A22" s="22">
        <v>5</v>
      </c>
      <c r="B22" s="23">
        <f t="shared" si="1"/>
        <v>107.97311028779086</v>
      </c>
      <c r="C22" s="23">
        <f t="shared" si="2"/>
        <v>74.785930756218264</v>
      </c>
      <c r="D22" s="23">
        <f t="shared" si="0"/>
        <v>33.187179531572596</v>
      </c>
      <c r="E22" s="31">
        <f t="shared" si="3"/>
        <v>26656.996504022776</v>
      </c>
    </row>
    <row r="23" spans="1:5" s="22" customFormat="1" x14ac:dyDescent="0.2">
      <c r="A23" s="22">
        <v>6</v>
      </c>
      <c r="B23" s="23">
        <f t="shared" si="1"/>
        <v>107.97311028779086</v>
      </c>
      <c r="C23" s="23">
        <f t="shared" si="2"/>
        <v>74.878776570615344</v>
      </c>
      <c r="D23" s="23">
        <f t="shared" si="0"/>
        <v>33.094333717175523</v>
      </c>
      <c r="E23" s="31">
        <f t="shared" si="3"/>
        <v>26582.117727452161</v>
      </c>
    </row>
    <row r="24" spans="1:5" s="22" customFormat="1" x14ac:dyDescent="0.2">
      <c r="A24" s="22">
        <v>7</v>
      </c>
      <c r="B24" s="23">
        <f t="shared" si="1"/>
        <v>107.97311028779086</v>
      </c>
      <c r="C24" s="23">
        <f t="shared" si="2"/>
        <v>74.971737651950491</v>
      </c>
      <c r="D24" s="23">
        <f t="shared" si="0"/>
        <v>33.001372635840362</v>
      </c>
      <c r="E24" s="31">
        <f t="shared" si="3"/>
        <v>26507.14598980021</v>
      </c>
    </row>
    <row r="25" spans="1:5" s="22" customFormat="1" x14ac:dyDescent="0.2">
      <c r="A25" s="22">
        <v>8</v>
      </c>
      <c r="B25" s="23">
        <f t="shared" si="1"/>
        <v>107.97311028779086</v>
      </c>
      <c r="C25" s="23">
        <f t="shared" si="2"/>
        <v>75.064814143326259</v>
      </c>
      <c r="D25" s="23">
        <f t="shared" si="0"/>
        <v>32.9082961444646</v>
      </c>
      <c r="E25" s="31">
        <f t="shared" si="3"/>
        <v>26432.081175656884</v>
      </c>
    </row>
    <row r="26" spans="1:5" s="22" customFormat="1" x14ac:dyDescent="0.2">
      <c r="A26" s="22">
        <v>9</v>
      </c>
      <c r="B26" s="23">
        <f t="shared" si="1"/>
        <v>107.97311028779086</v>
      </c>
      <c r="C26" s="23">
        <f t="shared" si="2"/>
        <v>75.158006188022739</v>
      </c>
      <c r="D26" s="23">
        <f t="shared" si="0"/>
        <v>32.815104099768114</v>
      </c>
      <c r="E26" s="31">
        <f t="shared" si="3"/>
        <v>26356.923169468861</v>
      </c>
    </row>
    <row r="27" spans="1:5" s="22" customFormat="1" x14ac:dyDescent="0.2">
      <c r="A27" s="22">
        <v>10</v>
      </c>
      <c r="B27" s="23">
        <f t="shared" si="1"/>
        <v>107.97311028779086</v>
      </c>
      <c r="C27" s="23">
        <f t="shared" si="2"/>
        <v>75.251313929497996</v>
      </c>
      <c r="D27" s="23">
        <f t="shared" si="0"/>
        <v>32.721796358292863</v>
      </c>
      <c r="E27" s="31">
        <f t="shared" si="3"/>
        <v>26281.671855539364</v>
      </c>
    </row>
    <row r="28" spans="1:5" s="22" customFormat="1" x14ac:dyDescent="0.2">
      <c r="A28" s="22">
        <v>11</v>
      </c>
      <c r="B28" s="23">
        <f t="shared" si="1"/>
        <v>107.97311028779086</v>
      </c>
      <c r="C28" s="23">
        <f t="shared" si="2"/>
        <v>75.344737511388132</v>
      </c>
      <c r="D28" s="23">
        <f t="shared" si="0"/>
        <v>32.628372776402728</v>
      </c>
      <c r="E28" s="31">
        <f t="shared" si="3"/>
        <v>26206.327118027977</v>
      </c>
    </row>
    <row r="29" spans="1:5" s="22" customFormat="1" x14ac:dyDescent="0.2">
      <c r="A29" s="22">
        <v>12</v>
      </c>
      <c r="B29" s="23">
        <f t="shared" si="1"/>
        <v>107.97311028779086</v>
      </c>
      <c r="C29" s="23">
        <f t="shared" si="2"/>
        <v>75.438277077507621</v>
      </c>
      <c r="D29" s="23">
        <f t="shared" si="0"/>
        <v>32.534833210283246</v>
      </c>
      <c r="E29" s="31">
        <f t="shared" si="3"/>
        <v>26130.888840950469</v>
      </c>
    </row>
    <row r="30" spans="1:5" s="22" customFormat="1" x14ac:dyDescent="0.2">
      <c r="A30" s="22">
        <v>13</v>
      </c>
      <c r="B30" s="23">
        <f t="shared" si="1"/>
        <v>107.97311028779086</v>
      </c>
      <c r="C30" s="23">
        <f t="shared" si="2"/>
        <v>75.531932771849426</v>
      </c>
      <c r="D30" s="23">
        <f t="shared" si="0"/>
        <v>32.441177515941426</v>
      </c>
      <c r="E30" s="31">
        <f t="shared" si="3"/>
        <v>26055.356908178619</v>
      </c>
    </row>
    <row r="31" spans="1:5" s="22" customFormat="1" x14ac:dyDescent="0.2">
      <c r="A31" s="22">
        <v>14</v>
      </c>
      <c r="B31" s="23">
        <f t="shared" si="1"/>
        <v>107.97311028779086</v>
      </c>
      <c r="C31" s="23">
        <f t="shared" si="2"/>
        <v>75.62570473858537</v>
      </c>
      <c r="D31" s="23">
        <f t="shared" si="0"/>
        <v>32.347405549205497</v>
      </c>
      <c r="E31" s="31">
        <f t="shared" si="3"/>
        <v>25979.731203440035</v>
      </c>
    </row>
    <row r="32" spans="1:5" s="22" customFormat="1" x14ac:dyDescent="0.2">
      <c r="A32" s="22">
        <v>15</v>
      </c>
      <c r="B32" s="23">
        <f t="shared" si="1"/>
        <v>107.97311028779086</v>
      </c>
      <c r="C32" s="23">
        <f t="shared" si="2"/>
        <v>75.719593122066129</v>
      </c>
      <c r="D32" s="23">
        <f t="shared" si="0"/>
        <v>32.25351716572473</v>
      </c>
      <c r="E32" s="31">
        <f t="shared" si="3"/>
        <v>25904.011610317968</v>
      </c>
    </row>
    <row r="33" spans="1:14" s="22" customFormat="1" x14ac:dyDescent="0.2">
      <c r="A33" s="22">
        <v>16</v>
      </c>
      <c r="B33" s="23">
        <f t="shared" si="1"/>
        <v>107.97311028779086</v>
      </c>
      <c r="C33" s="23">
        <f t="shared" si="2"/>
        <v>75.813598066821726</v>
      </c>
      <c r="D33" s="23">
        <f t="shared" si="0"/>
        <v>32.159512220969141</v>
      </c>
      <c r="E33" s="31">
        <f t="shared" si="3"/>
        <v>25828.198012251145</v>
      </c>
    </row>
    <row r="34" spans="1:14" s="22" customFormat="1" x14ac:dyDescent="0.2">
      <c r="A34" s="22">
        <v>17</v>
      </c>
      <c r="B34" s="23">
        <f t="shared" si="1"/>
        <v>107.97311028779086</v>
      </c>
      <c r="C34" s="23">
        <f t="shared" si="2"/>
        <v>75.907719717561491</v>
      </c>
      <c r="D34" s="23">
        <f t="shared" si="0"/>
        <v>32.065390570229361</v>
      </c>
      <c r="E34" s="31">
        <f t="shared" si="3"/>
        <v>25752.290292533584</v>
      </c>
    </row>
    <row r="35" spans="1:14" s="22" customFormat="1" x14ac:dyDescent="0.2">
      <c r="A35" s="22">
        <v>18</v>
      </c>
      <c r="B35" s="23">
        <f t="shared" si="1"/>
        <v>107.97311028779086</v>
      </c>
      <c r="C35" s="23">
        <f t="shared" si="2"/>
        <v>76.001958219174526</v>
      </c>
      <c r="D35" s="23">
        <f t="shared" si="0"/>
        <v>31.971152068616334</v>
      </c>
      <c r="E35" s="31">
        <f t="shared" si="3"/>
        <v>25676.288334314409</v>
      </c>
    </row>
    <row r="36" spans="1:14" s="22" customFormat="1" x14ac:dyDescent="0.2">
      <c r="A36" s="22">
        <v>19</v>
      </c>
      <c r="B36" s="23">
        <f t="shared" si="1"/>
        <v>107.97311028779086</v>
      </c>
      <c r="C36" s="23">
        <f t="shared" si="2"/>
        <v>76.096313716729725</v>
      </c>
      <c r="D36" s="23">
        <f t="shared" si="0"/>
        <v>31.876796571061139</v>
      </c>
      <c r="E36" s="31">
        <f t="shared" si="3"/>
        <v>25600.192020597678</v>
      </c>
    </row>
    <row r="37" spans="1:14" s="22" customFormat="1" x14ac:dyDescent="0.2">
      <c r="A37" s="22">
        <v>20</v>
      </c>
      <c r="B37" s="23">
        <f t="shared" si="1"/>
        <v>107.97311028779086</v>
      </c>
      <c r="C37" s="23">
        <f t="shared" si="2"/>
        <v>76.190786355476121</v>
      </c>
      <c r="D37" s="23">
        <f t="shared" si="0"/>
        <v>31.782323932314746</v>
      </c>
      <c r="E37" s="31">
        <f t="shared" si="3"/>
        <v>25524.001234242201</v>
      </c>
    </row>
    <row r="38" spans="1:14" s="22" customFormat="1" x14ac:dyDescent="0.2">
      <c r="A38" s="22">
        <v>21</v>
      </c>
      <c r="B38" s="23">
        <f t="shared" si="1"/>
        <v>107.97311028779086</v>
      </c>
      <c r="C38" s="23">
        <f t="shared" si="2"/>
        <v>76.285376280843053</v>
      </c>
      <c r="D38" s="23">
        <f t="shared" si="0"/>
        <v>31.68773400694781</v>
      </c>
      <c r="E38" s="31">
        <f t="shared" si="3"/>
        <v>25447.715857961357</v>
      </c>
    </row>
    <row r="39" spans="1:14" s="22" customFormat="1" x14ac:dyDescent="0.2">
      <c r="A39" s="22">
        <v>22</v>
      </c>
      <c r="B39" s="23">
        <f t="shared" si="1"/>
        <v>107.97311028779086</v>
      </c>
      <c r="C39" s="23">
        <f t="shared" si="2"/>
        <v>76.380083638440425</v>
      </c>
      <c r="D39" s="23">
        <f t="shared" si="0"/>
        <v>31.593026649350431</v>
      </c>
      <c r="E39" s="31">
        <f t="shared" si="3"/>
        <v>25371.335774322917</v>
      </c>
    </row>
    <row r="40" spans="1:14" s="22" customFormat="1" x14ac:dyDescent="0.2">
      <c r="A40" s="22">
        <v>23</v>
      </c>
      <c r="B40" s="23">
        <f t="shared" si="1"/>
        <v>107.97311028779086</v>
      </c>
      <c r="C40" s="23">
        <f t="shared" si="2"/>
        <v>76.474908574058915</v>
      </c>
      <c r="D40" s="23">
        <f t="shared" si="0"/>
        <v>31.498201713731941</v>
      </c>
      <c r="E40" s="31">
        <f t="shared" si="3"/>
        <v>25294.860865748858</v>
      </c>
    </row>
    <row r="41" spans="1:14" s="22" customFormat="1" x14ac:dyDescent="0.2">
      <c r="A41" s="22">
        <v>24</v>
      </c>
      <c r="B41" s="23">
        <f t="shared" si="1"/>
        <v>107.97311028779086</v>
      </c>
      <c r="C41" s="23">
        <f t="shared" si="2"/>
        <v>76.569851233670192</v>
      </c>
      <c r="D41" s="23">
        <f t="shared" si="0"/>
        <v>31.403259054120664</v>
      </c>
      <c r="E41" s="31">
        <f t="shared" si="3"/>
        <v>25218.291014515187</v>
      </c>
    </row>
    <row r="42" spans="1:14" s="22" customFormat="1" x14ac:dyDescent="0.2">
      <c r="A42" s="22">
        <v>25</v>
      </c>
      <c r="B42" s="23">
        <f t="shared" si="1"/>
        <v>107.97311028779086</v>
      </c>
      <c r="C42" s="23">
        <f t="shared" si="2"/>
        <v>76.664911763427142</v>
      </c>
      <c r="D42" s="23">
        <f t="shared" si="0"/>
        <v>31.308198524363714</v>
      </c>
      <c r="E42" s="31">
        <f t="shared" si="3"/>
        <v>25141.626102751761</v>
      </c>
    </row>
    <row r="43" spans="1:14" s="22" customFormat="1" x14ac:dyDescent="0.2">
      <c r="A43" s="22">
        <v>26</v>
      </c>
      <c r="B43" s="23">
        <f t="shared" si="1"/>
        <v>107.97311028779086</v>
      </c>
      <c r="C43" s="23">
        <f t="shared" si="2"/>
        <v>76.760090309664108</v>
      </c>
      <c r="D43" s="23">
        <f t="shared" si="0"/>
        <v>31.213019978126752</v>
      </c>
      <c r="E43" s="31">
        <f t="shared" si="3"/>
        <v>25064.866012442097</v>
      </c>
      <c r="M43" s="25"/>
      <c r="N43" s="25"/>
    </row>
    <row r="44" spans="1:14" s="22" customFormat="1" ht="14.25" x14ac:dyDescent="0.2">
      <c r="A44" s="22">
        <v>27</v>
      </c>
      <c r="B44" s="23">
        <f t="shared" si="1"/>
        <v>107.97311028779086</v>
      </c>
      <c r="C44" s="23">
        <f t="shared" si="2"/>
        <v>76.85538701889709</v>
      </c>
      <c r="D44" s="23">
        <f t="shared" si="0"/>
        <v>31.117723268893769</v>
      </c>
      <c r="E44" s="31">
        <f t="shared" si="3"/>
        <v>24988.010625423201</v>
      </c>
      <c r="N44" s="26"/>
    </row>
    <row r="45" spans="1:14" s="22" customFormat="1" ht="14.25" x14ac:dyDescent="0.2">
      <c r="A45" s="22">
        <v>28</v>
      </c>
      <c r="B45" s="23">
        <f t="shared" si="1"/>
        <v>107.97311028779086</v>
      </c>
      <c r="C45" s="23">
        <f t="shared" si="2"/>
        <v>76.950802037824005</v>
      </c>
      <c r="D45" s="23">
        <f t="shared" si="0"/>
        <v>31.022308249966855</v>
      </c>
      <c r="E45" s="31">
        <f t="shared" si="3"/>
        <v>24911.059823385378</v>
      </c>
      <c r="N45" s="27"/>
    </row>
    <row r="46" spans="1:14" s="22" customFormat="1" x14ac:dyDescent="0.2">
      <c r="A46" s="22">
        <v>29</v>
      </c>
      <c r="B46" s="23">
        <f t="shared" si="1"/>
        <v>107.97311028779086</v>
      </c>
      <c r="C46" s="23">
        <f t="shared" si="2"/>
        <v>77.046335513324891</v>
      </c>
      <c r="D46" s="23">
        <f t="shared" si="0"/>
        <v>30.926774774465976</v>
      </c>
      <c r="E46" s="31">
        <f t="shared" si="3"/>
        <v>24834.013487872053</v>
      </c>
      <c r="M46" s="25"/>
      <c r="N46" s="25"/>
    </row>
    <row r="47" spans="1:14" s="22" customFormat="1" ht="14.25" x14ac:dyDescent="0.2">
      <c r="A47" s="22">
        <v>30</v>
      </c>
      <c r="B47" s="23">
        <f t="shared" si="1"/>
        <v>107.97311028779086</v>
      </c>
      <c r="C47" s="23">
        <f t="shared" si="2"/>
        <v>77.141987592462101</v>
      </c>
      <c r="D47" s="23">
        <f t="shared" si="0"/>
        <v>30.831122695328755</v>
      </c>
      <c r="E47" s="31">
        <f t="shared" si="3"/>
        <v>24756.871500279591</v>
      </c>
      <c r="N47" s="26"/>
    </row>
    <row r="48" spans="1:14" s="22" customFormat="1" ht="14.25" x14ac:dyDescent="0.2">
      <c r="A48" s="22">
        <v>31</v>
      </c>
      <c r="B48" s="23">
        <f t="shared" si="1"/>
        <v>107.97311028779086</v>
      </c>
      <c r="C48" s="23">
        <f t="shared" si="2"/>
        <v>77.237758422480624</v>
      </c>
      <c r="D48" s="23">
        <f t="shared" si="0"/>
        <v>30.735351865310228</v>
      </c>
      <c r="E48" s="31">
        <f t="shared" si="3"/>
        <v>24679.633741857109</v>
      </c>
      <c r="N48" s="27"/>
    </row>
    <row r="49" spans="1:14" s="22" customFormat="1" x14ac:dyDescent="0.2">
      <c r="A49" s="22">
        <v>32</v>
      </c>
      <c r="B49" s="23">
        <f t="shared" si="1"/>
        <v>107.97311028779086</v>
      </c>
      <c r="C49" s="23">
        <f t="shared" si="2"/>
        <v>77.333648150808216</v>
      </c>
      <c r="D49" s="23">
        <f t="shared" si="0"/>
        <v>30.639462136982644</v>
      </c>
      <c r="E49" s="31">
        <f t="shared" si="3"/>
        <v>24602.300093706301</v>
      </c>
      <c r="M49" s="25"/>
      <c r="N49" s="25"/>
    </row>
    <row r="50" spans="1:14" s="22" customFormat="1" ht="14.25" x14ac:dyDescent="0.2">
      <c r="A50" s="22">
        <v>33</v>
      </c>
      <c r="B50" s="23">
        <f t="shared" si="1"/>
        <v>107.97311028779086</v>
      </c>
      <c r="C50" s="23">
        <f t="shared" si="2"/>
        <v>77.429656925055653</v>
      </c>
      <c r="D50" s="23">
        <f t="shared" si="0"/>
        <v>30.543453362735203</v>
      </c>
      <c r="E50" s="31">
        <f t="shared" si="3"/>
        <v>24524.870436781246</v>
      </c>
      <c r="N50" s="26"/>
    </row>
    <row r="51" spans="1:14" s="22" customFormat="1" ht="14.25" x14ac:dyDescent="0.2">
      <c r="A51" s="22">
        <v>34</v>
      </c>
      <c r="B51" s="23">
        <f t="shared" si="1"/>
        <v>107.97311028779086</v>
      </c>
      <c r="C51" s="23">
        <f t="shared" si="2"/>
        <v>77.52578489301699</v>
      </c>
      <c r="D51" s="23">
        <f t="shared" si="0"/>
        <v>30.447325394773866</v>
      </c>
      <c r="E51" s="31">
        <f t="shared" si="3"/>
        <v>24447.34465188823</v>
      </c>
      <c r="N51" s="27"/>
    </row>
    <row r="52" spans="1:14" s="22" customFormat="1" x14ac:dyDescent="0.2">
      <c r="A52" s="22">
        <v>35</v>
      </c>
      <c r="B52" s="23">
        <f t="shared" si="1"/>
        <v>107.97311028779086</v>
      </c>
      <c r="C52" s="23">
        <f t="shared" si="2"/>
        <v>77.622032202669757</v>
      </c>
      <c r="D52" s="23">
        <f t="shared" si="0"/>
        <v>30.351078085121099</v>
      </c>
      <c r="E52" s="31">
        <f t="shared" si="3"/>
        <v>24369.722619685559</v>
      </c>
      <c r="M52" s="25"/>
      <c r="N52" s="25"/>
    </row>
    <row r="53" spans="1:14" s="22" customFormat="1" ht="14.25" x14ac:dyDescent="0.2">
      <c r="A53" s="22">
        <v>36</v>
      </c>
      <c r="B53" s="23">
        <f t="shared" si="1"/>
        <v>107.97311028779086</v>
      </c>
      <c r="C53" s="23">
        <f t="shared" si="2"/>
        <v>77.718399002175204</v>
      </c>
      <c r="D53" s="23">
        <f t="shared" si="0"/>
        <v>30.254711285615652</v>
      </c>
      <c r="E53" s="31">
        <f t="shared" si="3"/>
        <v>24292.004220683382</v>
      </c>
      <c r="N53" s="26"/>
    </row>
    <row r="54" spans="1:14" s="22" customFormat="1" ht="14.25" x14ac:dyDescent="0.2">
      <c r="A54" s="22">
        <v>37</v>
      </c>
      <c r="B54" s="23">
        <f t="shared" si="1"/>
        <v>107.97311028779086</v>
      </c>
      <c r="C54" s="23">
        <f t="shared" si="2"/>
        <v>77.814885439878509</v>
      </c>
      <c r="D54" s="23">
        <f t="shared" si="0"/>
        <v>30.158224847912347</v>
      </c>
      <c r="E54" s="31">
        <f t="shared" si="3"/>
        <v>24214.189335243504</v>
      </c>
      <c r="N54" s="27"/>
    </row>
    <row r="55" spans="1:14" s="22" customFormat="1" x14ac:dyDescent="0.2">
      <c r="A55" s="22">
        <v>38</v>
      </c>
      <c r="B55" s="23">
        <f t="shared" si="1"/>
        <v>107.97311028779086</v>
      </c>
      <c r="C55" s="23">
        <f t="shared" si="2"/>
        <v>77.911491664309025</v>
      </c>
      <c r="D55" s="23">
        <f t="shared" si="0"/>
        <v>30.061618623481831</v>
      </c>
      <c r="E55" s="31">
        <f t="shared" si="3"/>
        <v>24136.277843579195</v>
      </c>
    </row>
    <row r="56" spans="1:14" s="22" customFormat="1" x14ac:dyDescent="0.2">
      <c r="A56" s="22">
        <v>39</v>
      </c>
      <c r="B56" s="23">
        <f t="shared" si="1"/>
        <v>107.97311028779086</v>
      </c>
      <c r="C56" s="23">
        <f t="shared" si="2"/>
        <v>78.008217824180505</v>
      </c>
      <c r="D56" s="23">
        <f t="shared" si="0"/>
        <v>29.964892463610351</v>
      </c>
      <c r="E56" s="31">
        <f t="shared" si="3"/>
        <v>24058.269625755016</v>
      </c>
    </row>
    <row r="57" spans="1:14" s="22" customFormat="1" ht="14.25" x14ac:dyDescent="0.2">
      <c r="A57" s="22">
        <v>40</v>
      </c>
      <c r="B57" s="23">
        <f t="shared" si="1"/>
        <v>107.97311028779086</v>
      </c>
      <c r="C57" s="23">
        <f t="shared" si="2"/>
        <v>78.105064068391329</v>
      </c>
      <c r="D57" s="23">
        <f t="shared" si="0"/>
        <v>29.868046219399535</v>
      </c>
      <c r="E57" s="31">
        <f t="shared" si="3"/>
        <v>23980.164561686626</v>
      </c>
      <c r="M57" s="26"/>
    </row>
    <row r="58" spans="1:14" s="22" customFormat="1" x14ac:dyDescent="0.2">
      <c r="A58" s="22">
        <v>41</v>
      </c>
      <c r="B58" s="23">
        <f t="shared" si="1"/>
        <v>107.97311028779086</v>
      </c>
      <c r="C58" s="23">
        <f t="shared" si="2"/>
        <v>78.202030546024716</v>
      </c>
      <c r="D58" s="23">
        <f t="shared" si="0"/>
        <v>29.771079741766144</v>
      </c>
      <c r="E58" s="31">
        <f t="shared" si="3"/>
        <v>23901.962531140602</v>
      </c>
    </row>
    <row r="59" spans="1:14" s="22" customFormat="1" x14ac:dyDescent="0.2">
      <c r="A59" s="22">
        <v>42</v>
      </c>
      <c r="B59" s="23">
        <f t="shared" si="1"/>
        <v>107.97311028779086</v>
      </c>
      <c r="C59" s="23">
        <f t="shared" si="2"/>
        <v>78.299117406348998</v>
      </c>
      <c r="D59" s="23">
        <f t="shared" si="0"/>
        <v>29.673992881441862</v>
      </c>
      <c r="E59" s="31">
        <f t="shared" si="3"/>
        <v>23823.663413734252</v>
      </c>
    </row>
    <row r="60" spans="1:14" s="22" customFormat="1" x14ac:dyDescent="0.2">
      <c r="A60" s="22">
        <v>43</v>
      </c>
      <c r="B60" s="23">
        <f t="shared" si="1"/>
        <v>107.97311028779086</v>
      </c>
      <c r="C60" s="23">
        <f t="shared" si="2"/>
        <v>78.396324798817801</v>
      </c>
      <c r="D60" s="23">
        <f t="shared" si="0"/>
        <v>29.576785488973059</v>
      </c>
      <c r="E60" s="31">
        <f t="shared" si="3"/>
        <v>23745.267088935434</v>
      </c>
    </row>
    <row r="61" spans="1:14" s="22" customFormat="1" x14ac:dyDescent="0.2">
      <c r="A61" s="22">
        <v>44</v>
      </c>
      <c r="B61" s="23">
        <f t="shared" si="1"/>
        <v>107.97311028779086</v>
      </c>
      <c r="C61" s="23">
        <f t="shared" si="2"/>
        <v>78.493652873070303</v>
      </c>
      <c r="D61" s="23">
        <f t="shared" si="0"/>
        <v>29.47945741472056</v>
      </c>
      <c r="E61" s="31">
        <f t="shared" si="3"/>
        <v>23666.773436062365</v>
      </c>
    </row>
    <row r="62" spans="1:14" s="22" customFormat="1" x14ac:dyDescent="0.2">
      <c r="A62" s="22">
        <v>45</v>
      </c>
      <c r="B62" s="23">
        <f t="shared" si="1"/>
        <v>107.97311028779086</v>
      </c>
      <c r="C62" s="23">
        <f t="shared" si="2"/>
        <v>78.591101778931446</v>
      </c>
      <c r="D62" s="23">
        <f t="shared" si="0"/>
        <v>29.382008508859414</v>
      </c>
      <c r="E62" s="31">
        <f t="shared" si="3"/>
        <v>23588.182334283432</v>
      </c>
    </row>
    <row r="63" spans="1:14" s="22" customFormat="1" x14ac:dyDescent="0.2">
      <c r="A63" s="22">
        <v>46</v>
      </c>
      <c r="B63" s="23">
        <f t="shared" si="1"/>
        <v>107.97311028779086</v>
      </c>
      <c r="C63" s="23">
        <f t="shared" si="2"/>
        <v>78.688671666412205</v>
      </c>
      <c r="D63" s="23">
        <f t="shared" si="0"/>
        <v>29.284438621378651</v>
      </c>
      <c r="E63" s="31">
        <f t="shared" si="3"/>
        <v>23509.49366261702</v>
      </c>
    </row>
    <row r="64" spans="1:14" s="22" customFormat="1" x14ac:dyDescent="0.2">
      <c r="A64" s="22">
        <v>47</v>
      </c>
      <c r="B64" s="23">
        <f t="shared" si="1"/>
        <v>107.97311028779086</v>
      </c>
      <c r="C64" s="23">
        <f t="shared" si="2"/>
        <v>78.786362685709776</v>
      </c>
      <c r="D64" s="23">
        <f t="shared" si="0"/>
        <v>29.186747602081091</v>
      </c>
      <c r="E64" s="31">
        <f t="shared" si="3"/>
        <v>23430.70729993131</v>
      </c>
    </row>
    <row r="65" spans="1:5" s="22" customFormat="1" x14ac:dyDescent="0.2">
      <c r="A65" s="22">
        <v>48</v>
      </c>
      <c r="B65" s="23">
        <f t="shared" si="1"/>
        <v>107.97311028779086</v>
      </c>
      <c r="C65" s="23">
        <f t="shared" si="2"/>
        <v>78.8841749872078</v>
      </c>
      <c r="D65" s="23">
        <f t="shared" si="0"/>
        <v>29.088935300583064</v>
      </c>
      <c r="E65" s="31">
        <f t="shared" si="3"/>
        <v>23351.823124944101</v>
      </c>
    </row>
    <row r="66" spans="1:5" s="22" customFormat="1" x14ac:dyDescent="0.2">
      <c r="A66" s="22">
        <v>49</v>
      </c>
      <c r="B66" s="23">
        <f t="shared" si="1"/>
        <v>107.97311028779086</v>
      </c>
      <c r="C66" s="23">
        <f t="shared" si="2"/>
        <v>78.982108721476649</v>
      </c>
      <c r="D66" s="23">
        <f t="shared" si="0"/>
        <v>28.99100156631421</v>
      </c>
      <c r="E66" s="31">
        <f t="shared" si="3"/>
        <v>23272.841016222625</v>
      </c>
    </row>
    <row r="67" spans="1:5" s="22" customFormat="1" x14ac:dyDescent="0.2">
      <c r="A67" s="22">
        <v>50</v>
      </c>
      <c r="B67" s="23">
        <f t="shared" si="1"/>
        <v>107.97311028779086</v>
      </c>
      <c r="C67" s="23">
        <f t="shared" si="2"/>
        <v>79.080164039273626</v>
      </c>
      <c r="D67" s="23">
        <f t="shared" si="0"/>
        <v>28.892946248517237</v>
      </c>
      <c r="E67" s="31">
        <f t="shared" si="3"/>
        <v>23193.76085218335</v>
      </c>
    </row>
    <row r="68" spans="1:5" s="22" customFormat="1" x14ac:dyDescent="0.2">
      <c r="A68" s="22">
        <v>51</v>
      </c>
      <c r="B68" s="23">
        <f t="shared" si="1"/>
        <v>107.97311028779086</v>
      </c>
      <c r="C68" s="23">
        <f t="shared" si="2"/>
        <v>79.178341091543174</v>
      </c>
      <c r="D68" s="23">
        <f t="shared" si="0"/>
        <v>28.794769196247682</v>
      </c>
      <c r="E68" s="31">
        <f t="shared" si="3"/>
        <v>23114.582511091809</v>
      </c>
    </row>
    <row r="69" spans="1:5" s="22" customFormat="1" x14ac:dyDescent="0.2">
      <c r="A69" s="22">
        <v>52</v>
      </c>
      <c r="B69" s="23">
        <f t="shared" si="1"/>
        <v>107.97311028779086</v>
      </c>
      <c r="C69" s="23">
        <f t="shared" si="2"/>
        <v>79.276640029417152</v>
      </c>
      <c r="D69" s="23">
        <f t="shared" si="0"/>
        <v>28.696470258373704</v>
      </c>
      <c r="E69" s="31">
        <f t="shared" si="3"/>
        <v>23035.305871062392</v>
      </c>
    </row>
    <row r="70" spans="1:5" s="22" customFormat="1" x14ac:dyDescent="0.2">
      <c r="A70" s="22">
        <v>53</v>
      </c>
      <c r="B70" s="23">
        <f t="shared" si="1"/>
        <v>107.97311028779086</v>
      </c>
      <c r="C70" s="23">
        <f t="shared" si="2"/>
        <v>79.375061004215041</v>
      </c>
      <c r="D70" s="23">
        <f t="shared" si="0"/>
        <v>28.598049283575811</v>
      </c>
      <c r="E70" s="31">
        <f t="shared" si="3"/>
        <v>22955.930810058177</v>
      </c>
    </row>
    <row r="71" spans="1:5" s="22" customFormat="1" x14ac:dyDescent="0.2">
      <c r="A71" s="22">
        <v>54</v>
      </c>
      <c r="B71" s="23">
        <f t="shared" si="1"/>
        <v>107.97311028779086</v>
      </c>
      <c r="C71" s="23">
        <f t="shared" si="2"/>
        <v>79.473604167444194</v>
      </c>
      <c r="D71" s="23">
        <f t="shared" si="0"/>
        <v>28.499506120346666</v>
      </c>
      <c r="E71" s="31">
        <f t="shared" si="3"/>
        <v>22876.457205890732</v>
      </c>
    </row>
    <row r="72" spans="1:5" s="22" customFormat="1" x14ac:dyDescent="0.2">
      <c r="A72" s="22">
        <v>55</v>
      </c>
      <c r="B72" s="23">
        <f t="shared" si="1"/>
        <v>107.97311028779086</v>
      </c>
      <c r="C72" s="23">
        <f t="shared" si="2"/>
        <v>79.572269670800026</v>
      </c>
      <c r="D72" s="23">
        <f t="shared" si="0"/>
        <v>28.400840616990834</v>
      </c>
      <c r="E72" s="31">
        <f t="shared" si="3"/>
        <v>22796.884936219933</v>
      </c>
    </row>
    <row r="73" spans="1:5" s="22" customFormat="1" x14ac:dyDescent="0.2">
      <c r="A73" s="22">
        <v>56</v>
      </c>
      <c r="B73" s="23">
        <f t="shared" si="1"/>
        <v>107.97311028779086</v>
      </c>
      <c r="C73" s="23">
        <f t="shared" si="2"/>
        <v>79.67105766616632</v>
      </c>
      <c r="D73" s="23">
        <f t="shared" si="0"/>
        <v>28.302052621624547</v>
      </c>
      <c r="E73" s="31">
        <f t="shared" si="3"/>
        <v>22717.213878553765</v>
      </c>
    </row>
    <row r="74" spans="1:5" s="22" customFormat="1" x14ac:dyDescent="0.2">
      <c r="A74" s="22">
        <v>57</v>
      </c>
      <c r="B74" s="23">
        <f t="shared" si="1"/>
        <v>107.97311028779086</v>
      </c>
      <c r="C74" s="23">
        <f t="shared" si="2"/>
        <v>79.769968305615379</v>
      </c>
      <c r="D74" s="23">
        <f t="shared" si="0"/>
        <v>28.203141982175477</v>
      </c>
      <c r="E74" s="31">
        <f t="shared" si="3"/>
        <v>22637.443910248148</v>
      </c>
    </row>
    <row r="75" spans="1:5" s="22" customFormat="1" x14ac:dyDescent="0.2">
      <c r="A75" s="22">
        <v>58</v>
      </c>
      <c r="B75" s="23">
        <f t="shared" si="1"/>
        <v>107.97311028779086</v>
      </c>
      <c r="C75" s="23">
        <f t="shared" si="2"/>
        <v>79.869001741408354</v>
      </c>
      <c r="D75" s="23">
        <f t="shared" si="0"/>
        <v>28.104108546382506</v>
      </c>
      <c r="E75" s="31">
        <f t="shared" si="3"/>
        <v>22557.57490850674</v>
      </c>
    </row>
    <row r="76" spans="1:5" s="22" customFormat="1" x14ac:dyDescent="0.2">
      <c r="A76" s="22">
        <v>59</v>
      </c>
      <c r="B76" s="23">
        <f t="shared" si="1"/>
        <v>107.97311028779086</v>
      </c>
      <c r="C76" s="23">
        <f t="shared" si="2"/>
        <v>79.968158125995373</v>
      </c>
      <c r="D76" s="23">
        <f t="shared" si="0"/>
        <v>28.004952161795483</v>
      </c>
      <c r="E76" s="31">
        <f t="shared" si="3"/>
        <v>22477.606750380746</v>
      </c>
    </row>
    <row r="77" spans="1:5" s="22" customFormat="1" x14ac:dyDescent="0.2">
      <c r="A77" s="22">
        <v>60</v>
      </c>
      <c r="B77" s="23">
        <f t="shared" si="1"/>
        <v>107.97311028779086</v>
      </c>
      <c r="C77" s="23">
        <f t="shared" si="2"/>
        <v>80.06743761201588</v>
      </c>
      <c r="D77" s="23">
        <f t="shared" si="0"/>
        <v>27.905672675774987</v>
      </c>
      <c r="E77" s="31">
        <f t="shared" si="3"/>
        <v>22397.539312768731</v>
      </c>
    </row>
    <row r="78" spans="1:5" s="22" customFormat="1" x14ac:dyDescent="0.2">
      <c r="A78" s="22">
        <v>61</v>
      </c>
      <c r="B78" s="23">
        <f t="shared" si="1"/>
        <v>107.97311028779086</v>
      </c>
      <c r="C78" s="23">
        <f t="shared" si="2"/>
        <v>80.166840352298763</v>
      </c>
      <c r="D78" s="23">
        <f t="shared" si="0"/>
        <v>27.8062699354921</v>
      </c>
      <c r="E78" s="31">
        <f t="shared" si="3"/>
        <v>22317.372472416431</v>
      </c>
    </row>
    <row r="79" spans="1:5" s="22" customFormat="1" x14ac:dyDescent="0.2">
      <c r="A79" s="22">
        <v>62</v>
      </c>
      <c r="B79" s="23">
        <f t="shared" si="1"/>
        <v>107.97311028779086</v>
      </c>
      <c r="C79" s="23">
        <f t="shared" si="2"/>
        <v>80.266366499862684</v>
      </c>
      <c r="D79" s="23">
        <f t="shared" si="0"/>
        <v>27.706743787928172</v>
      </c>
      <c r="E79" s="31">
        <f t="shared" si="3"/>
        <v>22237.10610591657</v>
      </c>
    </row>
    <row r="80" spans="1:5" s="22" customFormat="1" x14ac:dyDescent="0.2">
      <c r="A80" s="22">
        <v>63</v>
      </c>
      <c r="B80" s="23">
        <f t="shared" si="1"/>
        <v>107.97311028779086</v>
      </c>
      <c r="C80" s="23">
        <f t="shared" si="2"/>
        <v>80.366016207916289</v>
      </c>
      <c r="D80" s="23">
        <f t="shared" si="0"/>
        <v>27.607094079874578</v>
      </c>
      <c r="E80" s="31">
        <f t="shared" si="3"/>
        <v>22156.740089708652</v>
      </c>
    </row>
    <row r="81" spans="1:5" s="22" customFormat="1" x14ac:dyDescent="0.2">
      <c r="A81" s="22">
        <v>64</v>
      </c>
      <c r="B81" s="23">
        <f t="shared" si="1"/>
        <v>107.97311028779086</v>
      </c>
      <c r="C81" s="23">
        <f t="shared" si="2"/>
        <v>80.465789629858378</v>
      </c>
      <c r="D81" s="23">
        <f t="shared" si="0"/>
        <v>27.507320657932485</v>
      </c>
      <c r="E81" s="31">
        <f t="shared" si="3"/>
        <v>22076.274300078792</v>
      </c>
    </row>
    <row r="82" spans="1:5" s="22" customFormat="1" x14ac:dyDescent="0.2">
      <c r="A82" s="22">
        <v>65</v>
      </c>
      <c r="B82" s="23">
        <f t="shared" si="1"/>
        <v>107.97311028779086</v>
      </c>
      <c r="C82" s="23">
        <f t="shared" si="2"/>
        <v>80.565686919278235</v>
      </c>
      <c r="D82" s="23">
        <f t="shared" ref="D82:D145" si="4">E81*B$7</f>
        <v>27.407423368512621</v>
      </c>
      <c r="E82" s="31">
        <f t="shared" si="3"/>
        <v>21995.708613159513</v>
      </c>
    </row>
    <row r="83" spans="1:5" s="22" customFormat="1" x14ac:dyDescent="0.2">
      <c r="A83" s="22">
        <v>66</v>
      </c>
      <c r="B83" s="23">
        <f t="shared" ref="B83:B146" si="5">B$9</f>
        <v>107.97311028779086</v>
      </c>
      <c r="C83" s="23">
        <f t="shared" ref="C83:C146" si="6">B83-D83</f>
        <v>80.665708229955811</v>
      </c>
      <c r="D83" s="23">
        <f t="shared" si="4"/>
        <v>27.307402057835041</v>
      </c>
      <c r="E83" s="31">
        <f t="shared" ref="E83:E146" si="7">E82-C83</f>
        <v>21915.042904929556</v>
      </c>
    </row>
    <row r="84" spans="1:5" s="22" customFormat="1" x14ac:dyDescent="0.2">
      <c r="A84" s="22">
        <v>67</v>
      </c>
      <c r="B84" s="23">
        <f t="shared" si="5"/>
        <v>107.97311028779086</v>
      </c>
      <c r="C84" s="23">
        <f t="shared" si="6"/>
        <v>80.765853715861994</v>
      </c>
      <c r="D84" s="23">
        <f t="shared" si="4"/>
        <v>27.207256571928866</v>
      </c>
      <c r="E84" s="31">
        <f t="shared" si="7"/>
        <v>21834.277051213696</v>
      </c>
    </row>
    <row r="85" spans="1:5" s="22" customFormat="1" x14ac:dyDescent="0.2">
      <c r="A85" s="22">
        <v>68</v>
      </c>
      <c r="B85" s="23">
        <f t="shared" si="5"/>
        <v>107.97311028779086</v>
      </c>
      <c r="C85" s="23">
        <f t="shared" si="6"/>
        <v>80.866123531158777</v>
      </c>
      <c r="D85" s="23">
        <f t="shared" si="4"/>
        <v>27.106986756632086</v>
      </c>
      <c r="E85" s="31">
        <f t="shared" si="7"/>
        <v>21753.410927682537</v>
      </c>
    </row>
    <row r="86" spans="1:5" s="22" customFormat="1" x14ac:dyDescent="0.2">
      <c r="A86" s="22">
        <v>69</v>
      </c>
      <c r="B86" s="23">
        <f t="shared" si="5"/>
        <v>107.97311028779086</v>
      </c>
      <c r="C86" s="23">
        <f t="shared" si="6"/>
        <v>80.966517830199578</v>
      </c>
      <c r="D86" s="23">
        <f t="shared" si="4"/>
        <v>27.006592457591282</v>
      </c>
      <c r="E86" s="31">
        <f t="shared" si="7"/>
        <v>21672.444409852338</v>
      </c>
    </row>
    <row r="87" spans="1:5" s="22" customFormat="1" x14ac:dyDescent="0.2">
      <c r="A87" s="22">
        <v>70</v>
      </c>
      <c r="B87" s="23">
        <f t="shared" si="5"/>
        <v>107.97311028779086</v>
      </c>
      <c r="C87" s="23">
        <f t="shared" si="6"/>
        <v>81.06703676752943</v>
      </c>
      <c r="D87" s="23">
        <f t="shared" si="4"/>
        <v>26.906073520261423</v>
      </c>
      <c r="E87" s="31">
        <f t="shared" si="7"/>
        <v>21591.377373084808</v>
      </c>
    </row>
    <row r="88" spans="1:5" s="22" customFormat="1" x14ac:dyDescent="0.2">
      <c r="A88" s="22">
        <v>71</v>
      </c>
      <c r="B88" s="23">
        <f t="shared" si="5"/>
        <v>107.97311028779086</v>
      </c>
      <c r="C88" s="23">
        <f t="shared" si="6"/>
        <v>81.167680497885272</v>
      </c>
      <c r="D88" s="23">
        <f t="shared" si="4"/>
        <v>26.805429789905592</v>
      </c>
      <c r="E88" s="31">
        <f t="shared" si="7"/>
        <v>21510.209692586923</v>
      </c>
    </row>
    <row r="89" spans="1:5" s="22" customFormat="1" x14ac:dyDescent="0.2">
      <c r="A89" s="22">
        <v>72</v>
      </c>
      <c r="B89" s="23">
        <f t="shared" si="5"/>
        <v>107.97311028779086</v>
      </c>
      <c r="C89" s="23">
        <f t="shared" si="6"/>
        <v>81.268449176196071</v>
      </c>
      <c r="D89" s="23">
        <f t="shared" si="4"/>
        <v>26.704661111594788</v>
      </c>
      <c r="E89" s="31">
        <f t="shared" si="7"/>
        <v>21428.941243410725</v>
      </c>
    </row>
    <row r="90" spans="1:5" s="22" customFormat="1" x14ac:dyDescent="0.2">
      <c r="A90" s="22">
        <v>73</v>
      </c>
      <c r="B90" s="23">
        <f t="shared" si="5"/>
        <v>107.97311028779086</v>
      </c>
      <c r="C90" s="23">
        <f t="shared" si="6"/>
        <v>81.3693429575832</v>
      </c>
      <c r="D90" s="23">
        <f t="shared" si="4"/>
        <v>26.603767330207656</v>
      </c>
      <c r="E90" s="31">
        <f t="shared" si="7"/>
        <v>21347.571900453142</v>
      </c>
    </row>
    <row r="91" spans="1:5" s="22" customFormat="1" x14ac:dyDescent="0.2">
      <c r="A91" s="22">
        <v>74</v>
      </c>
      <c r="B91" s="23">
        <f t="shared" si="5"/>
        <v>107.97311028779086</v>
      </c>
      <c r="C91" s="23">
        <f t="shared" si="6"/>
        <v>81.470361997360584</v>
      </c>
      <c r="D91" s="23">
        <f t="shared" si="4"/>
        <v>26.502748290430269</v>
      </c>
      <c r="E91" s="31">
        <f t="shared" si="7"/>
        <v>21266.101538455783</v>
      </c>
    </row>
    <row r="92" spans="1:5" s="22" customFormat="1" x14ac:dyDescent="0.2">
      <c r="A92" s="22">
        <v>75</v>
      </c>
      <c r="B92" s="23">
        <f t="shared" si="5"/>
        <v>107.97311028779086</v>
      </c>
      <c r="C92" s="23">
        <f t="shared" si="6"/>
        <v>81.571506451034992</v>
      </c>
      <c r="D92" s="23">
        <f t="shared" si="4"/>
        <v>26.401603836755871</v>
      </c>
      <c r="E92" s="31">
        <f t="shared" si="7"/>
        <v>21184.53003200475</v>
      </c>
    </row>
    <row r="93" spans="1:5" s="22" customFormat="1" x14ac:dyDescent="0.2">
      <c r="A93" s="22">
        <v>76</v>
      </c>
      <c r="B93" s="23">
        <f t="shared" si="5"/>
        <v>107.97311028779086</v>
      </c>
      <c r="C93" s="23">
        <f t="shared" si="6"/>
        <v>81.672776474306204</v>
      </c>
      <c r="D93" s="23">
        <f t="shared" si="4"/>
        <v>26.300333813484649</v>
      </c>
      <c r="E93" s="31">
        <f t="shared" si="7"/>
        <v>21102.857255530445</v>
      </c>
    </row>
    <row r="94" spans="1:5" s="22" customFormat="1" x14ac:dyDescent="0.2">
      <c r="A94" s="22">
        <v>77</v>
      </c>
      <c r="B94" s="23">
        <f t="shared" si="5"/>
        <v>107.97311028779086</v>
      </c>
      <c r="C94" s="23">
        <f t="shared" si="6"/>
        <v>81.774172223067367</v>
      </c>
      <c r="D94" s="23">
        <f t="shared" si="4"/>
        <v>26.198938064723492</v>
      </c>
      <c r="E94" s="31">
        <f t="shared" si="7"/>
        <v>21021.083083307378</v>
      </c>
    </row>
    <row r="95" spans="1:5" s="22" customFormat="1" x14ac:dyDescent="0.2">
      <c r="A95" s="22">
        <v>78</v>
      </c>
      <c r="B95" s="23">
        <f t="shared" si="5"/>
        <v>107.97311028779086</v>
      </c>
      <c r="C95" s="23">
        <f t="shared" si="6"/>
        <v>81.87569385340511</v>
      </c>
      <c r="D95" s="23">
        <f t="shared" si="4"/>
        <v>26.09741643438575</v>
      </c>
      <c r="E95" s="31">
        <f t="shared" si="7"/>
        <v>20939.207389453972</v>
      </c>
    </row>
    <row r="96" spans="1:5" s="22" customFormat="1" x14ac:dyDescent="0.2">
      <c r="A96" s="22">
        <v>79</v>
      </c>
      <c r="B96" s="23">
        <f t="shared" si="5"/>
        <v>107.97311028779086</v>
      </c>
      <c r="C96" s="23">
        <f t="shared" si="6"/>
        <v>81.977341521599868</v>
      </c>
      <c r="D96" s="23">
        <f t="shared" si="4"/>
        <v>25.995768766190984</v>
      </c>
      <c r="E96" s="31">
        <f t="shared" si="7"/>
        <v>20857.230047932371</v>
      </c>
    </row>
    <row r="97" spans="1:5" s="22" customFormat="1" x14ac:dyDescent="0.2">
      <c r="A97" s="22">
        <v>80</v>
      </c>
      <c r="B97" s="23">
        <f t="shared" si="5"/>
        <v>107.97311028779086</v>
      </c>
      <c r="C97" s="23">
        <f t="shared" si="6"/>
        <v>82.079115384126112</v>
      </c>
      <c r="D97" s="23">
        <f t="shared" si="4"/>
        <v>25.893994903664748</v>
      </c>
      <c r="E97" s="31">
        <f t="shared" si="7"/>
        <v>20775.150932548244</v>
      </c>
    </row>
    <row r="98" spans="1:5" s="22" customFormat="1" x14ac:dyDescent="0.2">
      <c r="A98" s="22">
        <v>81</v>
      </c>
      <c r="B98" s="23">
        <f t="shared" si="5"/>
        <v>107.97311028779086</v>
      </c>
      <c r="C98" s="23">
        <f t="shared" si="6"/>
        <v>82.181015597652532</v>
      </c>
      <c r="D98" s="23">
        <f t="shared" si="4"/>
        <v>25.792094690138331</v>
      </c>
      <c r="E98" s="31">
        <f t="shared" si="7"/>
        <v>20692.969916950591</v>
      </c>
    </row>
    <row r="99" spans="1:5" s="22" customFormat="1" x14ac:dyDescent="0.2">
      <c r="A99" s="22">
        <v>82</v>
      </c>
      <c r="B99" s="23">
        <f t="shared" si="5"/>
        <v>107.97311028779086</v>
      </c>
      <c r="C99" s="23">
        <f t="shared" si="6"/>
        <v>82.283042319042337</v>
      </c>
      <c r="D99" s="23">
        <f t="shared" si="4"/>
        <v>25.690067968748519</v>
      </c>
      <c r="E99" s="31">
        <f t="shared" si="7"/>
        <v>20610.686874631549</v>
      </c>
    </row>
    <row r="100" spans="1:5" s="22" customFormat="1" x14ac:dyDescent="0.2">
      <c r="A100" s="22">
        <v>83</v>
      </c>
      <c r="B100" s="23">
        <f t="shared" si="5"/>
        <v>107.97311028779086</v>
      </c>
      <c r="C100" s="23">
        <f t="shared" si="6"/>
        <v>82.38519570535351</v>
      </c>
      <c r="D100" s="23">
        <f t="shared" si="4"/>
        <v>25.587914582437353</v>
      </c>
      <c r="E100" s="31">
        <f t="shared" si="7"/>
        <v>20528.301678926196</v>
      </c>
    </row>
    <row r="101" spans="1:5" s="22" customFormat="1" x14ac:dyDescent="0.2">
      <c r="A101" s="22">
        <v>84</v>
      </c>
      <c r="B101" s="23">
        <f t="shared" si="5"/>
        <v>107.97311028779086</v>
      </c>
      <c r="C101" s="23">
        <f t="shared" si="6"/>
        <v>82.487475913838978</v>
      </c>
      <c r="D101" s="23">
        <f t="shared" si="4"/>
        <v>25.485634373951889</v>
      </c>
      <c r="E101" s="31">
        <f t="shared" si="7"/>
        <v>20445.814203012356</v>
      </c>
    </row>
    <row r="102" spans="1:5" s="22" customFormat="1" x14ac:dyDescent="0.2">
      <c r="A102" s="22">
        <v>85</v>
      </c>
      <c r="B102" s="23">
        <f t="shared" si="5"/>
        <v>107.97311028779086</v>
      </c>
      <c r="C102" s="23">
        <f t="shared" si="6"/>
        <v>82.58988310194691</v>
      </c>
      <c r="D102" s="23">
        <f t="shared" si="4"/>
        <v>25.38322718584395</v>
      </c>
      <c r="E102" s="31">
        <f t="shared" si="7"/>
        <v>20363.224319910409</v>
      </c>
    </row>
    <row r="103" spans="1:5" s="22" customFormat="1" x14ac:dyDescent="0.2">
      <c r="A103" s="22">
        <v>86</v>
      </c>
      <c r="B103" s="23">
        <f t="shared" si="5"/>
        <v>107.97311028779086</v>
      </c>
      <c r="C103" s="23">
        <f t="shared" si="6"/>
        <v>82.692417427320962</v>
      </c>
      <c r="D103" s="23">
        <f t="shared" si="4"/>
        <v>25.280692860469902</v>
      </c>
      <c r="E103" s="31">
        <f t="shared" si="7"/>
        <v>20280.531902483086</v>
      </c>
    </row>
    <row r="104" spans="1:5" s="22" customFormat="1" x14ac:dyDescent="0.2">
      <c r="A104" s="22">
        <v>87</v>
      </c>
      <c r="B104" s="23">
        <f t="shared" si="5"/>
        <v>107.97311028779086</v>
      </c>
      <c r="C104" s="23">
        <f t="shared" si="6"/>
        <v>82.795079047800471</v>
      </c>
      <c r="D104" s="23">
        <f t="shared" si="4"/>
        <v>25.178031239990386</v>
      </c>
      <c r="E104" s="31">
        <f t="shared" si="7"/>
        <v>20197.736823435287</v>
      </c>
    </row>
    <row r="105" spans="1:5" s="22" customFormat="1" x14ac:dyDescent="0.2">
      <c r="A105" s="22">
        <v>88</v>
      </c>
      <c r="B105" s="23">
        <f t="shared" si="5"/>
        <v>107.97311028779086</v>
      </c>
      <c r="C105" s="23">
        <f t="shared" si="6"/>
        <v>82.897868121420771</v>
      </c>
      <c r="D105" s="23">
        <f t="shared" si="4"/>
        <v>25.075242166370096</v>
      </c>
      <c r="E105" s="31">
        <f t="shared" si="7"/>
        <v>20114.838955313866</v>
      </c>
    </row>
    <row r="106" spans="1:5" s="22" customFormat="1" x14ac:dyDescent="0.2">
      <c r="A106" s="22">
        <v>89</v>
      </c>
      <c r="B106" s="23">
        <f t="shared" si="5"/>
        <v>107.97311028779086</v>
      </c>
      <c r="C106" s="23">
        <f t="shared" si="6"/>
        <v>83.00078480641335</v>
      </c>
      <c r="D106" s="23">
        <f t="shared" si="4"/>
        <v>24.972325481377517</v>
      </c>
      <c r="E106" s="31">
        <f t="shared" si="7"/>
        <v>20031.838170507453</v>
      </c>
    </row>
    <row r="107" spans="1:5" s="22" customFormat="1" x14ac:dyDescent="0.2">
      <c r="A107" s="22">
        <v>90</v>
      </c>
      <c r="B107" s="23">
        <f t="shared" si="5"/>
        <v>107.97311028779086</v>
      </c>
      <c r="C107" s="23">
        <f t="shared" si="6"/>
        <v>83.103829261206158</v>
      </c>
      <c r="D107" s="23">
        <f t="shared" si="4"/>
        <v>24.869281026584709</v>
      </c>
      <c r="E107" s="31">
        <f t="shared" si="7"/>
        <v>19948.734341246247</v>
      </c>
    </row>
    <row r="108" spans="1:5" s="22" customFormat="1" x14ac:dyDescent="0.2">
      <c r="A108" s="22">
        <v>91</v>
      </c>
      <c r="B108" s="23">
        <f t="shared" si="5"/>
        <v>107.97311028779086</v>
      </c>
      <c r="C108" s="23">
        <f t="shared" si="6"/>
        <v>83.207001644423841</v>
      </c>
      <c r="D108" s="23">
        <f t="shared" si="4"/>
        <v>24.766108643367023</v>
      </c>
      <c r="E108" s="31">
        <f t="shared" si="7"/>
        <v>19865.527339601824</v>
      </c>
    </row>
    <row r="109" spans="1:5" s="22" customFormat="1" x14ac:dyDescent="0.2">
      <c r="A109" s="22">
        <v>92</v>
      </c>
      <c r="B109" s="23">
        <f t="shared" si="5"/>
        <v>107.97311028779086</v>
      </c>
      <c r="C109" s="23">
        <f t="shared" si="6"/>
        <v>83.310302114887961</v>
      </c>
      <c r="D109" s="23">
        <f t="shared" si="4"/>
        <v>24.662808172902896</v>
      </c>
      <c r="E109" s="31">
        <f t="shared" si="7"/>
        <v>19782.217037486935</v>
      </c>
    </row>
    <row r="110" spans="1:5" s="22" customFormat="1" x14ac:dyDescent="0.2">
      <c r="A110" s="22">
        <v>93</v>
      </c>
      <c r="B110" s="23">
        <f t="shared" si="5"/>
        <v>107.97311028779086</v>
      </c>
      <c r="C110" s="23">
        <f t="shared" si="6"/>
        <v>83.413730831617272</v>
      </c>
      <c r="D110" s="23">
        <f t="shared" si="4"/>
        <v>24.559379456173584</v>
      </c>
      <c r="E110" s="31">
        <f t="shared" si="7"/>
        <v>19698.803306655318</v>
      </c>
    </row>
    <row r="111" spans="1:5" s="22" customFormat="1" x14ac:dyDescent="0.2">
      <c r="A111" s="22">
        <v>94</v>
      </c>
      <c r="B111" s="23">
        <f t="shared" si="5"/>
        <v>107.97311028779086</v>
      </c>
      <c r="C111" s="23">
        <f t="shared" si="6"/>
        <v>83.517287953827932</v>
      </c>
      <c r="D111" s="23">
        <f t="shared" si="4"/>
        <v>24.455822333962924</v>
      </c>
      <c r="E111" s="31">
        <f t="shared" si="7"/>
        <v>19615.286018701489</v>
      </c>
    </row>
    <row r="112" spans="1:5" s="22" customFormat="1" x14ac:dyDescent="0.2">
      <c r="A112" s="22">
        <v>95</v>
      </c>
      <c r="B112" s="23">
        <f t="shared" si="5"/>
        <v>107.97311028779086</v>
      </c>
      <c r="C112" s="23">
        <f t="shared" si="6"/>
        <v>83.620973640933769</v>
      </c>
      <c r="D112" s="23">
        <f t="shared" si="4"/>
        <v>24.35213664685709</v>
      </c>
      <c r="E112" s="31">
        <f t="shared" si="7"/>
        <v>19531.665045060556</v>
      </c>
    </row>
    <row r="113" spans="1:5" s="22" customFormat="1" x14ac:dyDescent="0.2">
      <c r="A113" s="22">
        <v>96</v>
      </c>
      <c r="B113" s="23">
        <f t="shared" si="5"/>
        <v>107.97311028779086</v>
      </c>
      <c r="C113" s="23">
        <f t="shared" si="6"/>
        <v>83.724788052546515</v>
      </c>
      <c r="D113" s="23">
        <f t="shared" si="4"/>
        <v>24.248322235244341</v>
      </c>
      <c r="E113" s="31">
        <f t="shared" si="7"/>
        <v>19447.940257008009</v>
      </c>
    </row>
    <row r="114" spans="1:5" s="22" customFormat="1" x14ac:dyDescent="0.2">
      <c r="A114" s="22">
        <v>97</v>
      </c>
      <c r="B114" s="23">
        <f t="shared" si="5"/>
        <v>107.97311028779086</v>
      </c>
      <c r="C114" s="23">
        <f t="shared" si="6"/>
        <v>83.828731348476069</v>
      </c>
      <c r="D114" s="23">
        <f t="shared" si="4"/>
        <v>24.144378939314787</v>
      </c>
      <c r="E114" s="31">
        <f t="shared" si="7"/>
        <v>19364.111525659533</v>
      </c>
    </row>
    <row r="115" spans="1:5" s="22" customFormat="1" x14ac:dyDescent="0.2">
      <c r="A115" s="22">
        <v>98</v>
      </c>
      <c r="B115" s="23">
        <f t="shared" si="5"/>
        <v>107.97311028779086</v>
      </c>
      <c r="C115" s="23">
        <f t="shared" si="6"/>
        <v>83.932803688730729</v>
      </c>
      <c r="D115" s="23">
        <f t="shared" si="4"/>
        <v>24.040306599060127</v>
      </c>
      <c r="E115" s="31">
        <f t="shared" si="7"/>
        <v>19280.178721970802</v>
      </c>
    </row>
    <row r="116" spans="1:5" s="22" customFormat="1" x14ac:dyDescent="0.2">
      <c r="A116" s="22">
        <v>99</v>
      </c>
      <c r="B116" s="23">
        <f t="shared" si="5"/>
        <v>107.97311028779086</v>
      </c>
      <c r="C116" s="23">
        <f t="shared" si="6"/>
        <v>84.037005233517448</v>
      </c>
      <c r="D116" s="23">
        <f t="shared" si="4"/>
        <v>23.936105054273419</v>
      </c>
      <c r="E116" s="31">
        <f t="shared" si="7"/>
        <v>19196.141716737286</v>
      </c>
    </row>
    <row r="117" spans="1:5" s="22" customFormat="1" x14ac:dyDescent="0.2">
      <c r="A117" s="22">
        <v>100</v>
      </c>
      <c r="B117" s="23">
        <f t="shared" si="5"/>
        <v>107.97311028779086</v>
      </c>
      <c r="C117" s="23">
        <f t="shared" si="6"/>
        <v>84.141336143242029</v>
      </c>
      <c r="D117" s="23">
        <f t="shared" si="4"/>
        <v>23.831774144548827</v>
      </c>
      <c r="E117" s="31">
        <f t="shared" si="7"/>
        <v>19112.000380594043</v>
      </c>
    </row>
    <row r="118" spans="1:5" s="22" customFormat="1" x14ac:dyDescent="0.2">
      <c r="A118" s="22">
        <v>101</v>
      </c>
      <c r="B118" s="23">
        <f t="shared" si="5"/>
        <v>107.97311028779086</v>
      </c>
      <c r="C118" s="23">
        <f t="shared" si="6"/>
        <v>84.245796578509498</v>
      </c>
      <c r="D118" s="23">
        <f t="shared" si="4"/>
        <v>23.727313709281361</v>
      </c>
      <c r="E118" s="31">
        <f t="shared" si="7"/>
        <v>19027.754584015533</v>
      </c>
    </row>
    <row r="119" spans="1:5" s="22" customFormat="1" x14ac:dyDescent="0.2">
      <c r="A119" s="22">
        <v>102</v>
      </c>
      <c r="B119" s="23">
        <f t="shared" si="5"/>
        <v>107.97311028779086</v>
      </c>
      <c r="C119" s="23">
        <f t="shared" si="6"/>
        <v>84.350386700124204</v>
      </c>
      <c r="D119" s="23">
        <f t="shared" si="4"/>
        <v>23.622723587666655</v>
      </c>
      <c r="E119" s="31">
        <f t="shared" si="7"/>
        <v>18943.404197315409</v>
      </c>
    </row>
    <row r="120" spans="1:5" s="22" customFormat="1" x14ac:dyDescent="0.2">
      <c r="A120" s="22">
        <v>103</v>
      </c>
      <c r="B120" s="23">
        <f t="shared" si="5"/>
        <v>107.97311028779086</v>
      </c>
      <c r="C120" s="23">
        <f t="shared" si="6"/>
        <v>84.455106669090156</v>
      </c>
      <c r="D120" s="23">
        <f t="shared" si="4"/>
        <v>23.518003618700707</v>
      </c>
      <c r="E120" s="31">
        <f t="shared" si="7"/>
        <v>18858.949090646318</v>
      </c>
    </row>
    <row r="121" spans="1:5" s="22" customFormat="1" x14ac:dyDescent="0.2">
      <c r="A121" s="22">
        <v>104</v>
      </c>
      <c r="B121" s="23">
        <f t="shared" si="5"/>
        <v>107.97311028779086</v>
      </c>
      <c r="C121" s="23">
        <f t="shared" si="6"/>
        <v>84.559956646611241</v>
      </c>
      <c r="D121" s="23">
        <f t="shared" si="4"/>
        <v>23.413153641179616</v>
      </c>
      <c r="E121" s="31">
        <f t="shared" si="7"/>
        <v>18774.389133999706</v>
      </c>
    </row>
    <row r="122" spans="1:5" s="22" customFormat="1" x14ac:dyDescent="0.2">
      <c r="A122" s="22">
        <v>105</v>
      </c>
      <c r="B122" s="23">
        <f t="shared" si="5"/>
        <v>107.97311028779086</v>
      </c>
      <c r="C122" s="23">
        <f t="shared" si="6"/>
        <v>84.664936794091489</v>
      </c>
      <c r="D122" s="23">
        <f t="shared" si="4"/>
        <v>23.308173493699364</v>
      </c>
      <c r="E122" s="31">
        <f t="shared" si="7"/>
        <v>18689.724197205614</v>
      </c>
    </row>
    <row r="123" spans="1:5" s="22" customFormat="1" x14ac:dyDescent="0.2">
      <c r="A123" s="22">
        <v>106</v>
      </c>
      <c r="B123" s="23">
        <f t="shared" si="5"/>
        <v>107.97311028779086</v>
      </c>
      <c r="C123" s="23">
        <f t="shared" si="6"/>
        <v>84.770047273135319</v>
      </c>
      <c r="D123" s="23">
        <f t="shared" si="4"/>
        <v>23.203063014655545</v>
      </c>
      <c r="E123" s="31">
        <f t="shared" si="7"/>
        <v>18604.954149932481</v>
      </c>
    </row>
    <row r="124" spans="1:5" s="22" customFormat="1" x14ac:dyDescent="0.2">
      <c r="A124" s="22">
        <v>107</v>
      </c>
      <c r="B124" s="23">
        <f t="shared" si="5"/>
        <v>107.97311028779086</v>
      </c>
      <c r="C124" s="23">
        <f t="shared" si="6"/>
        <v>84.875288245547736</v>
      </c>
      <c r="D124" s="23">
        <f t="shared" si="4"/>
        <v>23.097822042243127</v>
      </c>
      <c r="E124" s="31">
        <f t="shared" si="7"/>
        <v>18520.078861686932</v>
      </c>
    </row>
    <row r="125" spans="1:5" s="22" customFormat="1" x14ac:dyDescent="0.2">
      <c r="A125" s="22">
        <v>108</v>
      </c>
      <c r="B125" s="23">
        <f t="shared" si="5"/>
        <v>107.97311028779086</v>
      </c>
      <c r="C125" s="23">
        <f t="shared" si="6"/>
        <v>84.980659873334673</v>
      </c>
      <c r="D125" s="23">
        <f t="shared" si="4"/>
        <v>22.992450414456187</v>
      </c>
      <c r="E125" s="31">
        <f t="shared" si="7"/>
        <v>18435.098201813598</v>
      </c>
    </row>
    <row r="126" spans="1:5" s="22" customFormat="1" x14ac:dyDescent="0.2">
      <c r="A126" s="22">
        <v>109</v>
      </c>
      <c r="B126" s="23">
        <f t="shared" si="5"/>
        <v>107.97311028779086</v>
      </c>
      <c r="C126" s="23">
        <f t="shared" si="6"/>
        <v>85.086162318703174</v>
      </c>
      <c r="D126" s="23">
        <f t="shared" si="4"/>
        <v>22.886947969087689</v>
      </c>
      <c r="E126" s="31">
        <f t="shared" si="7"/>
        <v>18350.012039494894</v>
      </c>
    </row>
    <row r="127" spans="1:5" s="22" customFormat="1" x14ac:dyDescent="0.2">
      <c r="A127" s="22">
        <v>110</v>
      </c>
      <c r="B127" s="23">
        <f t="shared" si="5"/>
        <v>107.97311028779086</v>
      </c>
      <c r="C127" s="23">
        <f t="shared" si="6"/>
        <v>85.19179574406165</v>
      </c>
      <c r="D127" s="23">
        <f t="shared" si="4"/>
        <v>22.781314543729206</v>
      </c>
      <c r="E127" s="31">
        <f t="shared" si="7"/>
        <v>18264.820243750833</v>
      </c>
    </row>
    <row r="128" spans="1:5" s="22" customFormat="1" x14ac:dyDescent="0.2">
      <c r="A128" s="22">
        <v>111</v>
      </c>
      <c r="B128" s="23">
        <f t="shared" si="5"/>
        <v>107.97311028779086</v>
      </c>
      <c r="C128" s="23">
        <f t="shared" si="6"/>
        <v>85.297560312020153</v>
      </c>
      <c r="D128" s="23">
        <f t="shared" si="4"/>
        <v>22.6755499757707</v>
      </c>
      <c r="E128" s="31">
        <f t="shared" si="7"/>
        <v>18179.522683438812</v>
      </c>
    </row>
    <row r="129" spans="1:5" s="22" customFormat="1" x14ac:dyDescent="0.2">
      <c r="A129" s="22">
        <v>112</v>
      </c>
      <c r="B129" s="23">
        <f t="shared" si="5"/>
        <v>107.97311028779086</v>
      </c>
      <c r="C129" s="23">
        <f t="shared" si="6"/>
        <v>85.403456185390624</v>
      </c>
      <c r="D129" s="23">
        <f t="shared" si="4"/>
        <v>22.569654102400236</v>
      </c>
      <c r="E129" s="31">
        <f t="shared" si="7"/>
        <v>18094.119227253421</v>
      </c>
    </row>
    <row r="130" spans="1:5" s="22" customFormat="1" x14ac:dyDescent="0.2">
      <c r="A130" s="22">
        <v>113</v>
      </c>
      <c r="B130" s="23">
        <f t="shared" si="5"/>
        <v>107.97311028779086</v>
      </c>
      <c r="C130" s="23">
        <f t="shared" si="6"/>
        <v>85.509483527187101</v>
      </c>
      <c r="D130" s="23">
        <f t="shared" si="4"/>
        <v>22.463626760603759</v>
      </c>
      <c r="E130" s="31">
        <f t="shared" si="7"/>
        <v>18008.609743726232</v>
      </c>
    </row>
    <row r="131" spans="1:5" s="22" customFormat="1" x14ac:dyDescent="0.2">
      <c r="A131" s="22">
        <v>114</v>
      </c>
      <c r="B131" s="23">
        <f t="shared" si="5"/>
        <v>107.97311028779086</v>
      </c>
      <c r="C131" s="23">
        <f t="shared" si="6"/>
        <v>85.615642500626024</v>
      </c>
      <c r="D131" s="23">
        <f t="shared" si="4"/>
        <v>22.357467787164833</v>
      </c>
      <c r="E131" s="31">
        <f t="shared" si="7"/>
        <v>17922.994101225606</v>
      </c>
    </row>
    <row r="132" spans="1:5" s="22" customFormat="1" x14ac:dyDescent="0.2">
      <c r="A132" s="22">
        <v>115</v>
      </c>
      <c r="B132" s="23">
        <f t="shared" si="5"/>
        <v>107.97311028779086</v>
      </c>
      <c r="C132" s="23">
        <f t="shared" si="6"/>
        <v>85.721933269126467</v>
      </c>
      <c r="D132" s="23">
        <f t="shared" si="4"/>
        <v>22.251177018664393</v>
      </c>
      <c r="E132" s="31">
        <f t="shared" si="7"/>
        <v>17837.272167956478</v>
      </c>
    </row>
    <row r="133" spans="1:5" s="22" customFormat="1" x14ac:dyDescent="0.2">
      <c r="A133" s="22">
        <v>116</v>
      </c>
      <c r="B133" s="23">
        <f t="shared" si="5"/>
        <v>107.97311028779086</v>
      </c>
      <c r="C133" s="23">
        <f t="shared" si="6"/>
        <v>85.828355996310378</v>
      </c>
      <c r="D133" s="23">
        <f t="shared" si="4"/>
        <v>22.144754291480485</v>
      </c>
      <c r="E133" s="31">
        <f t="shared" si="7"/>
        <v>17751.443811960169</v>
      </c>
    </row>
    <row r="134" spans="1:5" s="22" customFormat="1" x14ac:dyDescent="0.2">
      <c r="A134" s="22">
        <v>117</v>
      </c>
      <c r="B134" s="23">
        <f t="shared" si="5"/>
        <v>107.97311028779086</v>
      </c>
      <c r="C134" s="23">
        <f t="shared" si="6"/>
        <v>85.934910846002822</v>
      </c>
      <c r="D134" s="23">
        <f t="shared" si="4"/>
        <v>22.038199441788031</v>
      </c>
      <c r="E134" s="31">
        <f t="shared" si="7"/>
        <v>17665.508901114168</v>
      </c>
    </row>
    <row r="135" spans="1:5" s="22" customFormat="1" x14ac:dyDescent="0.2">
      <c r="A135" s="22">
        <v>118</v>
      </c>
      <c r="B135" s="23">
        <f t="shared" si="5"/>
        <v>107.97311028779086</v>
      </c>
      <c r="C135" s="23">
        <f t="shared" si="6"/>
        <v>86.041597982232304</v>
      </c>
      <c r="D135" s="23">
        <f t="shared" si="4"/>
        <v>21.931512305558559</v>
      </c>
      <c r="E135" s="31">
        <f t="shared" si="7"/>
        <v>17579.467303131936</v>
      </c>
    </row>
    <row r="136" spans="1:5" s="22" customFormat="1" x14ac:dyDescent="0.2">
      <c r="A136" s="22">
        <v>119</v>
      </c>
      <c r="B136" s="23">
        <f t="shared" si="5"/>
        <v>107.97311028779086</v>
      </c>
      <c r="C136" s="23">
        <f t="shared" si="6"/>
        <v>86.148417569230901</v>
      </c>
      <c r="D136" s="23">
        <f t="shared" si="4"/>
        <v>21.824692718559952</v>
      </c>
      <c r="E136" s="31">
        <f t="shared" si="7"/>
        <v>17493.318885562705</v>
      </c>
    </row>
    <row r="137" spans="1:5" s="22" customFormat="1" x14ac:dyDescent="0.2">
      <c r="A137" s="22">
        <v>120</v>
      </c>
      <c r="B137" s="23">
        <f t="shared" si="5"/>
        <v>107.97311028779086</v>
      </c>
      <c r="C137" s="23">
        <f t="shared" si="6"/>
        <v>86.255369771434658</v>
      </c>
      <c r="D137" s="23">
        <f t="shared" si="4"/>
        <v>21.717740516356209</v>
      </c>
      <c r="E137" s="31">
        <f t="shared" si="7"/>
        <v>17407.063515791269</v>
      </c>
    </row>
    <row r="138" spans="1:5" s="22" customFormat="1" x14ac:dyDescent="0.2">
      <c r="A138" s="22">
        <v>121</v>
      </c>
      <c r="B138" s="23">
        <f t="shared" si="5"/>
        <v>107.97311028779086</v>
      </c>
      <c r="C138" s="23">
        <f t="shared" si="6"/>
        <v>86.362454753483675</v>
      </c>
      <c r="D138" s="23">
        <f t="shared" si="4"/>
        <v>21.610655534307181</v>
      </c>
      <c r="E138" s="31">
        <f t="shared" si="7"/>
        <v>17320.701061037787</v>
      </c>
    </row>
    <row r="139" spans="1:5" s="22" customFormat="1" x14ac:dyDescent="0.2">
      <c r="A139" s="22">
        <v>122</v>
      </c>
      <c r="B139" s="23">
        <f t="shared" si="5"/>
        <v>107.97311028779086</v>
      </c>
      <c r="C139" s="23">
        <f t="shared" si="6"/>
        <v>86.46967268022253</v>
      </c>
      <c r="D139" s="23">
        <f t="shared" si="4"/>
        <v>21.503437607568326</v>
      </c>
      <c r="E139" s="31">
        <f t="shared" si="7"/>
        <v>17234.231388357566</v>
      </c>
    </row>
    <row r="140" spans="1:5" s="22" customFormat="1" x14ac:dyDescent="0.2">
      <c r="A140" s="22">
        <v>123</v>
      </c>
      <c r="B140" s="23">
        <f t="shared" si="5"/>
        <v>107.97311028779086</v>
      </c>
      <c r="C140" s="23">
        <f t="shared" si="6"/>
        <v>86.57702371670041</v>
      </c>
      <c r="D140" s="23">
        <f t="shared" si="4"/>
        <v>21.396086571090443</v>
      </c>
      <c r="E140" s="31">
        <f t="shared" si="7"/>
        <v>17147.654364640865</v>
      </c>
    </row>
    <row r="141" spans="1:5" s="22" customFormat="1" x14ac:dyDescent="0.2">
      <c r="A141" s="22">
        <v>124</v>
      </c>
      <c r="B141" s="23">
        <f t="shared" si="5"/>
        <v>107.97311028779086</v>
      </c>
      <c r="C141" s="23">
        <f t="shared" si="6"/>
        <v>86.684508028171436</v>
      </c>
      <c r="D141" s="23">
        <f t="shared" si="4"/>
        <v>21.28860225961942</v>
      </c>
      <c r="E141" s="31">
        <f t="shared" si="7"/>
        <v>17060.969856612694</v>
      </c>
    </row>
    <row r="142" spans="1:5" s="22" customFormat="1" x14ac:dyDescent="0.2">
      <c r="A142" s="22">
        <v>125</v>
      </c>
      <c r="B142" s="23">
        <f t="shared" si="5"/>
        <v>107.97311028779086</v>
      </c>
      <c r="C142" s="23">
        <f t="shared" si="6"/>
        <v>86.792125780094864</v>
      </c>
      <c r="D142" s="23">
        <f t="shared" si="4"/>
        <v>21.180984507695996</v>
      </c>
      <c r="E142" s="31">
        <f t="shared" si="7"/>
        <v>16974.177730832598</v>
      </c>
    </row>
    <row r="143" spans="1:5" s="22" customFormat="1" x14ac:dyDescent="0.2">
      <c r="A143" s="22">
        <v>126</v>
      </c>
      <c r="B143" s="23">
        <f t="shared" si="5"/>
        <v>107.97311028779086</v>
      </c>
      <c r="C143" s="23">
        <f t="shared" si="6"/>
        <v>86.899877138135366</v>
      </c>
      <c r="D143" s="23">
        <f t="shared" si="4"/>
        <v>21.073233149655486</v>
      </c>
      <c r="E143" s="31">
        <f t="shared" si="7"/>
        <v>16887.277853694464</v>
      </c>
    </row>
    <row r="144" spans="1:5" s="22" customFormat="1" x14ac:dyDescent="0.2">
      <c r="A144" s="22">
        <v>127</v>
      </c>
      <c r="B144" s="23">
        <f t="shared" si="5"/>
        <v>107.97311028779086</v>
      </c>
      <c r="C144" s="23">
        <f t="shared" si="6"/>
        <v>87.007762268163319</v>
      </c>
      <c r="D144" s="23">
        <f t="shared" si="4"/>
        <v>20.965348019627545</v>
      </c>
      <c r="E144" s="31">
        <f t="shared" si="7"/>
        <v>16800.2700914263</v>
      </c>
    </row>
    <row r="145" spans="1:5" s="22" customFormat="1" x14ac:dyDescent="0.2">
      <c r="A145" s="22">
        <v>128</v>
      </c>
      <c r="B145" s="23">
        <f t="shared" si="5"/>
        <v>107.97311028779086</v>
      </c>
      <c r="C145" s="23">
        <f t="shared" si="6"/>
        <v>87.115781336254983</v>
      </c>
      <c r="D145" s="23">
        <f t="shared" si="4"/>
        <v>20.85732895153588</v>
      </c>
      <c r="E145" s="31">
        <f t="shared" si="7"/>
        <v>16713.154310090045</v>
      </c>
    </row>
    <row r="146" spans="1:5" s="22" customFormat="1" x14ac:dyDescent="0.2">
      <c r="A146" s="22">
        <v>129</v>
      </c>
      <c r="B146" s="23">
        <f t="shared" si="5"/>
        <v>107.97311028779086</v>
      </c>
      <c r="C146" s="23">
        <f t="shared" si="6"/>
        <v>87.223934508692821</v>
      </c>
      <c r="D146" s="23">
        <f t="shared" ref="D146:D209" si="8">E145*B$7</f>
        <v>20.749175779098039</v>
      </c>
      <c r="E146" s="31">
        <f t="shared" si="7"/>
        <v>16625.930375581353</v>
      </c>
    </row>
    <row r="147" spans="1:5" s="22" customFormat="1" x14ac:dyDescent="0.2">
      <c r="A147" s="22">
        <v>130</v>
      </c>
      <c r="B147" s="23">
        <f t="shared" ref="B147:B210" si="9">B$9</f>
        <v>107.97311028779086</v>
      </c>
      <c r="C147" s="23">
        <f t="shared" ref="C147:C210" si="10">B147-D147</f>
        <v>87.332221951965735</v>
      </c>
      <c r="D147" s="23">
        <f t="shared" si="8"/>
        <v>20.640888335825121</v>
      </c>
      <c r="E147" s="31">
        <f t="shared" ref="E147:E210" si="11">E146-C147</f>
        <v>16538.598153629388</v>
      </c>
    </row>
    <row r="148" spans="1:5" s="22" customFormat="1" x14ac:dyDescent="0.2">
      <c r="A148" s="22">
        <v>131</v>
      </c>
      <c r="B148" s="23">
        <f t="shared" si="9"/>
        <v>107.97311028779086</v>
      </c>
      <c r="C148" s="23">
        <f t="shared" si="10"/>
        <v>87.440643832769325</v>
      </c>
      <c r="D148" s="23">
        <f t="shared" si="8"/>
        <v>20.532466455021535</v>
      </c>
      <c r="E148" s="31">
        <f t="shared" si="11"/>
        <v>16451.15750979662</v>
      </c>
    </row>
    <row r="149" spans="1:5" s="22" customFormat="1" x14ac:dyDescent="0.2">
      <c r="A149" s="22">
        <v>132</v>
      </c>
      <c r="B149" s="23">
        <f t="shared" si="9"/>
        <v>107.97311028779086</v>
      </c>
      <c r="C149" s="23">
        <f t="shared" si="10"/>
        <v>87.549200318006115</v>
      </c>
      <c r="D149" s="23">
        <f t="shared" si="8"/>
        <v>20.423909969784738</v>
      </c>
      <c r="E149" s="31">
        <f t="shared" si="11"/>
        <v>16363.608309478614</v>
      </c>
    </row>
    <row r="150" spans="1:5" s="22" customFormat="1" x14ac:dyDescent="0.2">
      <c r="A150" s="22">
        <v>133</v>
      </c>
      <c r="B150" s="23">
        <f t="shared" si="9"/>
        <v>107.97311028779086</v>
      </c>
      <c r="C150" s="23">
        <f t="shared" si="10"/>
        <v>87.657891574785879</v>
      </c>
      <c r="D150" s="23">
        <f t="shared" si="8"/>
        <v>20.315218713004974</v>
      </c>
      <c r="E150" s="31">
        <f t="shared" si="11"/>
        <v>16275.950417903829</v>
      </c>
    </row>
    <row r="151" spans="1:5" s="22" customFormat="1" x14ac:dyDescent="0.2">
      <c r="A151" s="22">
        <v>134</v>
      </c>
      <c r="B151" s="23">
        <f t="shared" si="9"/>
        <v>107.97311028779086</v>
      </c>
      <c r="C151" s="23">
        <f t="shared" si="10"/>
        <v>87.766717770425828</v>
      </c>
      <c r="D151" s="23">
        <f t="shared" si="8"/>
        <v>20.206392517365035</v>
      </c>
      <c r="E151" s="31">
        <f t="shared" si="11"/>
        <v>16188.183700133402</v>
      </c>
    </row>
    <row r="152" spans="1:5" s="22" customFormat="1" x14ac:dyDescent="0.2">
      <c r="A152" s="22">
        <v>135</v>
      </c>
      <c r="B152" s="23">
        <f t="shared" si="9"/>
        <v>107.97311028779086</v>
      </c>
      <c r="C152" s="23">
        <f t="shared" si="10"/>
        <v>87.875679072450879</v>
      </c>
      <c r="D152" s="23">
        <f t="shared" si="8"/>
        <v>20.097431215339984</v>
      </c>
      <c r="E152" s="31">
        <f t="shared" si="11"/>
        <v>16100.308021060951</v>
      </c>
    </row>
    <row r="153" spans="1:5" s="22" customFormat="1" x14ac:dyDescent="0.2">
      <c r="A153" s="22">
        <v>136</v>
      </c>
      <c r="B153" s="23">
        <f t="shared" si="9"/>
        <v>107.97311028779086</v>
      </c>
      <c r="C153" s="23">
        <f t="shared" si="10"/>
        <v>87.984775648593967</v>
      </c>
      <c r="D153" s="23">
        <f t="shared" si="8"/>
        <v>19.988334639196896</v>
      </c>
      <c r="E153" s="31">
        <f t="shared" si="11"/>
        <v>16012.323245412357</v>
      </c>
    </row>
    <row r="154" spans="1:5" s="22" customFormat="1" x14ac:dyDescent="0.2">
      <c r="A154" s="22">
        <v>137</v>
      </c>
      <c r="B154" s="23">
        <f t="shared" si="9"/>
        <v>107.97311028779086</v>
      </c>
      <c r="C154" s="23">
        <f t="shared" si="10"/>
        <v>88.094007666796244</v>
      </c>
      <c r="D154" s="23">
        <f t="shared" si="8"/>
        <v>19.879102620994622</v>
      </c>
      <c r="E154" s="31">
        <f t="shared" si="11"/>
        <v>15924.229237745561</v>
      </c>
    </row>
    <row r="155" spans="1:5" s="22" customFormat="1" x14ac:dyDescent="0.2">
      <c r="A155" s="22">
        <v>138</v>
      </c>
      <c r="B155" s="23">
        <f t="shared" si="9"/>
        <v>107.97311028779086</v>
      </c>
      <c r="C155" s="23">
        <f t="shared" si="10"/>
        <v>88.203375295207351</v>
      </c>
      <c r="D155" s="23">
        <f t="shared" si="8"/>
        <v>19.769734992583505</v>
      </c>
      <c r="E155" s="31">
        <f t="shared" si="11"/>
        <v>15836.025862450355</v>
      </c>
    </row>
    <row r="156" spans="1:5" s="22" customFormat="1" x14ac:dyDescent="0.2">
      <c r="A156" s="22">
        <v>139</v>
      </c>
      <c r="B156" s="23">
        <f t="shared" si="9"/>
        <v>107.97311028779086</v>
      </c>
      <c r="C156" s="23">
        <f t="shared" si="10"/>
        <v>88.312878702185714</v>
      </c>
      <c r="D156" s="23">
        <f t="shared" si="8"/>
        <v>19.660231585605143</v>
      </c>
      <c r="E156" s="31">
        <f t="shared" si="11"/>
        <v>15747.71298374817</v>
      </c>
    </row>
    <row r="157" spans="1:5" s="22" customFormat="1" x14ac:dyDescent="0.2">
      <c r="A157" s="22">
        <v>140</v>
      </c>
      <c r="B157" s="23">
        <f t="shared" si="9"/>
        <v>107.97311028779086</v>
      </c>
      <c r="C157" s="23">
        <f t="shared" si="10"/>
        <v>88.422518056298756</v>
      </c>
      <c r="D157" s="23">
        <f t="shared" si="8"/>
        <v>19.550592231492104</v>
      </c>
      <c r="E157" s="31">
        <f t="shared" si="11"/>
        <v>15659.290465691871</v>
      </c>
    </row>
    <row r="158" spans="1:5" s="22" customFormat="1" x14ac:dyDescent="0.2">
      <c r="A158" s="22">
        <v>141</v>
      </c>
      <c r="B158" s="23">
        <f t="shared" si="9"/>
        <v>107.97311028779086</v>
      </c>
      <c r="C158" s="23">
        <f t="shared" si="10"/>
        <v>88.532293526323173</v>
      </c>
      <c r="D158" s="23">
        <f t="shared" si="8"/>
        <v>19.440816761467694</v>
      </c>
      <c r="E158" s="31">
        <f t="shared" si="11"/>
        <v>15570.758172165548</v>
      </c>
    </row>
    <row r="159" spans="1:5" s="22" customFormat="1" x14ac:dyDescent="0.2">
      <c r="A159" s="22">
        <v>142</v>
      </c>
      <c r="B159" s="23">
        <f t="shared" si="9"/>
        <v>107.97311028779086</v>
      </c>
      <c r="C159" s="23">
        <f t="shared" si="10"/>
        <v>88.642205281245168</v>
      </c>
      <c r="D159" s="23">
        <f t="shared" si="8"/>
        <v>19.330905006545684</v>
      </c>
      <c r="E159" s="31">
        <f t="shared" si="11"/>
        <v>15482.115966884303</v>
      </c>
    </row>
    <row r="160" spans="1:5" s="22" customFormat="1" x14ac:dyDescent="0.2">
      <c r="A160" s="22">
        <v>143</v>
      </c>
      <c r="B160" s="23">
        <f t="shared" si="9"/>
        <v>107.97311028779086</v>
      </c>
      <c r="C160" s="23">
        <f t="shared" si="10"/>
        <v>88.752253490260813</v>
      </c>
      <c r="D160" s="23">
        <f t="shared" si="8"/>
        <v>19.220856797530043</v>
      </c>
      <c r="E160" s="31">
        <f t="shared" si="11"/>
        <v>15393.363713394043</v>
      </c>
    </row>
    <row r="161" spans="1:5" s="22" customFormat="1" x14ac:dyDescent="0.2">
      <c r="A161" s="22">
        <v>144</v>
      </c>
      <c r="B161" s="23">
        <f t="shared" si="9"/>
        <v>107.97311028779086</v>
      </c>
      <c r="C161" s="23">
        <f t="shared" si="10"/>
        <v>88.862438322776171</v>
      </c>
      <c r="D161" s="23">
        <f t="shared" si="8"/>
        <v>19.110671965014692</v>
      </c>
      <c r="E161" s="31">
        <f t="shared" si="11"/>
        <v>15304.501275071267</v>
      </c>
    </row>
    <row r="162" spans="1:5" s="22" customFormat="1" x14ac:dyDescent="0.2">
      <c r="A162" s="22">
        <v>145</v>
      </c>
      <c r="B162" s="23">
        <f t="shared" si="9"/>
        <v>107.97311028779086</v>
      </c>
      <c r="C162" s="23">
        <f t="shared" si="10"/>
        <v>88.972759948407628</v>
      </c>
      <c r="D162" s="23">
        <f t="shared" si="8"/>
        <v>19.000350339383235</v>
      </c>
      <c r="E162" s="31">
        <f t="shared" si="11"/>
        <v>15215.52851512286</v>
      </c>
    </row>
    <row r="163" spans="1:5" s="22" customFormat="1" x14ac:dyDescent="0.2">
      <c r="A163" s="22">
        <v>146</v>
      </c>
      <c r="B163" s="23">
        <f t="shared" si="9"/>
        <v>107.97311028779086</v>
      </c>
      <c r="C163" s="23">
        <f t="shared" si="10"/>
        <v>89.083218536982159</v>
      </c>
      <c r="D163" s="23">
        <f t="shared" si="8"/>
        <v>18.889891750808697</v>
      </c>
      <c r="E163" s="31">
        <f t="shared" si="11"/>
        <v>15126.445296585878</v>
      </c>
    </row>
    <row r="164" spans="1:5" s="22" customFormat="1" x14ac:dyDescent="0.2">
      <c r="A164" s="22">
        <v>147</v>
      </c>
      <c r="B164" s="23">
        <f t="shared" si="9"/>
        <v>107.97311028779086</v>
      </c>
      <c r="C164" s="23">
        <f t="shared" si="10"/>
        <v>89.1938142585376</v>
      </c>
      <c r="D164" s="23">
        <f t="shared" si="8"/>
        <v>18.779296029253267</v>
      </c>
      <c r="E164" s="31">
        <f t="shared" si="11"/>
        <v>15037.251482327341</v>
      </c>
    </row>
    <row r="165" spans="1:5" s="22" customFormat="1" x14ac:dyDescent="0.2">
      <c r="A165" s="22">
        <v>148</v>
      </c>
      <c r="B165" s="23">
        <f t="shared" si="9"/>
        <v>107.97311028779086</v>
      </c>
      <c r="C165" s="23">
        <f t="shared" si="10"/>
        <v>89.304547283322819</v>
      </c>
      <c r="D165" s="23">
        <f t="shared" si="8"/>
        <v>18.668563004468037</v>
      </c>
      <c r="E165" s="31">
        <f t="shared" si="11"/>
        <v>14947.946935044018</v>
      </c>
    </row>
    <row r="166" spans="1:5" s="22" customFormat="1" x14ac:dyDescent="0.2">
      <c r="A166" s="22">
        <v>149</v>
      </c>
      <c r="B166" s="23">
        <f t="shared" si="9"/>
        <v>107.97311028779086</v>
      </c>
      <c r="C166" s="23">
        <f t="shared" si="10"/>
        <v>89.415417781798141</v>
      </c>
      <c r="D166" s="23">
        <f t="shared" si="8"/>
        <v>18.557692505992726</v>
      </c>
      <c r="E166" s="31">
        <f t="shared" si="11"/>
        <v>14858.531517262219</v>
      </c>
    </row>
    <row r="167" spans="1:5" s="22" customFormat="1" x14ac:dyDescent="0.2">
      <c r="A167" s="22">
        <v>150</v>
      </c>
      <c r="B167" s="23">
        <f t="shared" si="9"/>
        <v>107.97311028779086</v>
      </c>
      <c r="C167" s="23">
        <f t="shared" si="10"/>
        <v>89.526425924635419</v>
      </c>
      <c r="D167" s="23">
        <f t="shared" si="8"/>
        <v>18.446684363155445</v>
      </c>
      <c r="E167" s="31">
        <f t="shared" si="11"/>
        <v>14769.005091337584</v>
      </c>
    </row>
    <row r="168" spans="1:5" s="22" customFormat="1" x14ac:dyDescent="0.2">
      <c r="A168" s="22">
        <v>151</v>
      </c>
      <c r="B168" s="23">
        <f t="shared" si="9"/>
        <v>107.97311028779086</v>
      </c>
      <c r="C168" s="23">
        <f t="shared" si="10"/>
        <v>89.637571882718461</v>
      </c>
      <c r="D168" s="23">
        <f t="shared" si="8"/>
        <v>18.335538405072402</v>
      </c>
      <c r="E168" s="31">
        <f t="shared" si="11"/>
        <v>14679.367519454865</v>
      </c>
    </row>
    <row r="169" spans="1:5" s="22" customFormat="1" x14ac:dyDescent="0.2">
      <c r="A169" s="22">
        <v>152</v>
      </c>
      <c r="B169" s="23">
        <f t="shared" si="9"/>
        <v>107.97311028779086</v>
      </c>
      <c r="C169" s="23">
        <f t="shared" si="10"/>
        <v>89.748855827143188</v>
      </c>
      <c r="D169" s="23">
        <f t="shared" si="8"/>
        <v>18.224254460647668</v>
      </c>
      <c r="E169" s="31">
        <f t="shared" si="11"/>
        <v>14589.618663627722</v>
      </c>
    </row>
    <row r="170" spans="1:5" s="22" customFormat="1" x14ac:dyDescent="0.2">
      <c r="A170" s="22">
        <v>153</v>
      </c>
      <c r="B170" s="23">
        <f t="shared" si="9"/>
        <v>107.97311028779086</v>
      </c>
      <c r="C170" s="23">
        <f t="shared" si="10"/>
        <v>89.860277929217972</v>
      </c>
      <c r="D170" s="23">
        <f t="shared" si="8"/>
        <v>18.112832358572895</v>
      </c>
      <c r="E170" s="31">
        <f t="shared" si="11"/>
        <v>14499.758385698504</v>
      </c>
    </row>
    <row r="171" spans="1:5" s="22" customFormat="1" x14ac:dyDescent="0.2">
      <c r="A171" s="22">
        <v>154</v>
      </c>
      <c r="B171" s="23">
        <f t="shared" si="9"/>
        <v>107.97311028779086</v>
      </c>
      <c r="C171" s="23">
        <f t="shared" si="10"/>
        <v>89.971838360463806</v>
      </c>
      <c r="D171" s="23">
        <f t="shared" si="8"/>
        <v>18.001271927327053</v>
      </c>
      <c r="E171" s="31">
        <f t="shared" si="11"/>
        <v>14409.786547338041</v>
      </c>
    </row>
    <row r="172" spans="1:5" s="22" customFormat="1" x14ac:dyDescent="0.2">
      <c r="A172" s="22">
        <v>155</v>
      </c>
      <c r="B172" s="23">
        <f t="shared" si="9"/>
        <v>107.97311028779086</v>
      </c>
      <c r="C172" s="23">
        <f t="shared" si="10"/>
        <v>90.083537292614679</v>
      </c>
      <c r="D172" s="23">
        <f t="shared" si="8"/>
        <v>17.889572995176177</v>
      </c>
      <c r="E172" s="31">
        <f t="shared" si="11"/>
        <v>14319.703010045427</v>
      </c>
    </row>
    <row r="173" spans="1:5" s="22" customFormat="1" x14ac:dyDescent="0.2">
      <c r="A173" s="22">
        <v>156</v>
      </c>
      <c r="B173" s="23">
        <f t="shared" si="9"/>
        <v>107.97311028779086</v>
      </c>
      <c r="C173" s="23">
        <f t="shared" si="10"/>
        <v>90.195374897617768</v>
      </c>
      <c r="D173" s="23">
        <f t="shared" si="8"/>
        <v>17.777735390173099</v>
      </c>
      <c r="E173" s="31">
        <f t="shared" si="11"/>
        <v>14229.507635147809</v>
      </c>
    </row>
    <row r="174" spans="1:5" s="22" customFormat="1" x14ac:dyDescent="0.2">
      <c r="A174" s="22">
        <v>157</v>
      </c>
      <c r="B174" s="23">
        <f t="shared" si="9"/>
        <v>107.97311028779086</v>
      </c>
      <c r="C174" s="23">
        <f t="shared" si="10"/>
        <v>90.307351347633698</v>
      </c>
      <c r="D174" s="23">
        <f t="shared" si="8"/>
        <v>17.665758940157168</v>
      </c>
      <c r="E174" s="31">
        <f t="shared" si="11"/>
        <v>14139.200283800175</v>
      </c>
    </row>
    <row r="175" spans="1:5" s="22" customFormat="1" x14ac:dyDescent="0.2">
      <c r="A175" s="22">
        <v>158</v>
      </c>
      <c r="B175" s="23">
        <f t="shared" si="9"/>
        <v>107.97311028779086</v>
      </c>
      <c r="C175" s="23">
        <f t="shared" si="10"/>
        <v>90.419466815036856</v>
      </c>
      <c r="D175" s="23">
        <f t="shared" si="8"/>
        <v>17.553643472754011</v>
      </c>
      <c r="E175" s="31">
        <f t="shared" si="11"/>
        <v>14048.780816985138</v>
      </c>
    </row>
    <row r="176" spans="1:5" s="22" customFormat="1" x14ac:dyDescent="0.2">
      <c r="A176" s="22">
        <v>159</v>
      </c>
      <c r="B176" s="23">
        <f t="shared" si="9"/>
        <v>107.97311028779086</v>
      </c>
      <c r="C176" s="23">
        <f t="shared" si="10"/>
        <v>90.531721472415612</v>
      </c>
      <c r="D176" s="23">
        <f t="shared" si="8"/>
        <v>17.441388815375248</v>
      </c>
      <c r="E176" s="31">
        <f t="shared" si="11"/>
        <v>13958.249095512721</v>
      </c>
    </row>
    <row r="177" spans="1:5" s="22" customFormat="1" x14ac:dyDescent="0.2">
      <c r="A177" s="22">
        <v>160</v>
      </c>
      <c r="B177" s="23">
        <f t="shared" si="9"/>
        <v>107.97311028779086</v>
      </c>
      <c r="C177" s="23">
        <f t="shared" si="10"/>
        <v>90.644115492572624</v>
      </c>
      <c r="D177" s="23">
        <f t="shared" si="8"/>
        <v>17.328994795218239</v>
      </c>
      <c r="E177" s="31">
        <f t="shared" si="11"/>
        <v>13867.604980020149</v>
      </c>
    </row>
    <row r="178" spans="1:5" s="22" customFormat="1" x14ac:dyDescent="0.2">
      <c r="A178" s="22">
        <v>161</v>
      </c>
      <c r="B178" s="23">
        <f t="shared" si="9"/>
        <v>107.97311028779086</v>
      </c>
      <c r="C178" s="23">
        <f t="shared" si="10"/>
        <v>90.756649048525063</v>
      </c>
      <c r="D178" s="23">
        <f t="shared" si="8"/>
        <v>17.216461239265801</v>
      </c>
      <c r="E178" s="31">
        <f t="shared" si="11"/>
        <v>13776.848330971625</v>
      </c>
    </row>
    <row r="179" spans="1:5" s="22" customFormat="1" x14ac:dyDescent="0.2">
      <c r="A179" s="22">
        <v>162</v>
      </c>
      <c r="B179" s="23">
        <f t="shared" si="9"/>
        <v>107.97311028779086</v>
      </c>
      <c r="C179" s="23">
        <f t="shared" si="10"/>
        <v>90.869322313504895</v>
      </c>
      <c r="D179" s="23">
        <f t="shared" si="8"/>
        <v>17.103787974285961</v>
      </c>
      <c r="E179" s="31">
        <f t="shared" si="11"/>
        <v>13685.97900865812</v>
      </c>
    </row>
    <row r="180" spans="1:5" s="22" customFormat="1" x14ac:dyDescent="0.2">
      <c r="A180" s="22">
        <v>163</v>
      </c>
      <c r="B180" s="23">
        <f t="shared" si="9"/>
        <v>107.97311028779086</v>
      </c>
      <c r="C180" s="23">
        <f t="shared" si="10"/>
        <v>90.982135460959185</v>
      </c>
      <c r="D180" s="23">
        <f t="shared" si="8"/>
        <v>16.990974826831671</v>
      </c>
      <c r="E180" s="31">
        <f t="shared" si="11"/>
        <v>13594.99687319716</v>
      </c>
    </row>
    <row r="181" spans="1:5" s="22" customFormat="1" x14ac:dyDescent="0.2">
      <c r="A181" s="22">
        <v>164</v>
      </c>
      <c r="B181" s="23">
        <f t="shared" si="9"/>
        <v>107.97311028779086</v>
      </c>
      <c r="C181" s="23">
        <f t="shared" si="10"/>
        <v>91.095088664550289</v>
      </c>
      <c r="D181" s="23">
        <f t="shared" si="8"/>
        <v>16.878021623240567</v>
      </c>
      <c r="E181" s="31">
        <f t="shared" si="11"/>
        <v>13503.901784532611</v>
      </c>
    </row>
    <row r="182" spans="1:5" s="22" customFormat="1" x14ac:dyDescent="0.2">
      <c r="A182" s="22">
        <v>165</v>
      </c>
      <c r="B182" s="23">
        <f t="shared" si="9"/>
        <v>107.97311028779086</v>
      </c>
      <c r="C182" s="23">
        <f t="shared" si="10"/>
        <v>91.208182098156186</v>
      </c>
      <c r="D182" s="23">
        <f t="shared" si="8"/>
        <v>16.76492818963467</v>
      </c>
      <c r="E182" s="31">
        <f t="shared" si="11"/>
        <v>13412.693602434454</v>
      </c>
    </row>
    <row r="183" spans="1:5" s="22" customFormat="1" x14ac:dyDescent="0.2">
      <c r="A183" s="22">
        <v>166</v>
      </c>
      <c r="B183" s="23">
        <f t="shared" si="9"/>
        <v>107.97311028779086</v>
      </c>
      <c r="C183" s="23">
        <f t="shared" si="10"/>
        <v>91.321415935870718</v>
      </c>
      <c r="D183" s="23">
        <f t="shared" si="8"/>
        <v>16.651694351920142</v>
      </c>
      <c r="E183" s="31">
        <f t="shared" si="11"/>
        <v>13321.372186498584</v>
      </c>
    </row>
    <row r="184" spans="1:5" s="22" customFormat="1" x14ac:dyDescent="0.2">
      <c r="A184" s="22">
        <v>167</v>
      </c>
      <c r="B184" s="23">
        <f t="shared" si="9"/>
        <v>107.97311028779086</v>
      </c>
      <c r="C184" s="23">
        <f t="shared" si="10"/>
        <v>91.434790352003859</v>
      </c>
      <c r="D184" s="23">
        <f t="shared" si="8"/>
        <v>16.538319935787005</v>
      </c>
      <c r="E184" s="31">
        <f t="shared" si="11"/>
        <v>13229.937396146579</v>
      </c>
    </row>
    <row r="185" spans="1:5" s="22" customFormat="1" x14ac:dyDescent="0.2">
      <c r="A185" s="22">
        <v>168</v>
      </c>
      <c r="B185" s="23">
        <f t="shared" si="9"/>
        <v>107.97311028779086</v>
      </c>
      <c r="C185" s="23">
        <f t="shared" si="10"/>
        <v>91.548305521081986</v>
      </c>
      <c r="D185" s="23">
        <f t="shared" si="8"/>
        <v>16.424804766708874</v>
      </c>
      <c r="E185" s="31">
        <f t="shared" si="11"/>
        <v>13138.389090625496</v>
      </c>
    </row>
    <row r="186" spans="1:5" s="22" customFormat="1" x14ac:dyDescent="0.2">
      <c r="A186" s="22">
        <v>169</v>
      </c>
      <c r="B186" s="23">
        <f t="shared" si="9"/>
        <v>107.97311028779086</v>
      </c>
      <c r="C186" s="23">
        <f t="shared" si="10"/>
        <v>91.661961617848149</v>
      </c>
      <c r="D186" s="23">
        <f t="shared" si="8"/>
        <v>16.311148669942707</v>
      </c>
      <c r="E186" s="31">
        <f t="shared" si="11"/>
        <v>13046.727129007648</v>
      </c>
    </row>
    <row r="187" spans="1:5" s="22" customFormat="1" x14ac:dyDescent="0.2">
      <c r="A187" s="22">
        <v>170</v>
      </c>
      <c r="B187" s="23">
        <f t="shared" si="9"/>
        <v>107.97311028779086</v>
      </c>
      <c r="C187" s="23">
        <f t="shared" si="10"/>
        <v>91.775758817262357</v>
      </c>
      <c r="D187" s="23">
        <f t="shared" si="8"/>
        <v>16.197351470528503</v>
      </c>
      <c r="E187" s="31">
        <f t="shared" si="11"/>
        <v>12954.951370190385</v>
      </c>
    </row>
    <row r="188" spans="1:5" s="22" customFormat="1" x14ac:dyDescent="0.2">
      <c r="A188" s="22">
        <v>171</v>
      </c>
      <c r="B188" s="23">
        <f t="shared" si="9"/>
        <v>107.97311028779086</v>
      </c>
      <c r="C188" s="23">
        <f t="shared" si="10"/>
        <v>91.889697294501801</v>
      </c>
      <c r="D188" s="23">
        <f t="shared" si="8"/>
        <v>16.083412993289059</v>
      </c>
      <c r="E188" s="31">
        <f t="shared" si="11"/>
        <v>12863.061672895883</v>
      </c>
    </row>
    <row r="189" spans="1:5" s="22" customFormat="1" x14ac:dyDescent="0.2">
      <c r="A189" s="22">
        <v>172</v>
      </c>
      <c r="B189" s="23">
        <f t="shared" si="9"/>
        <v>107.97311028779086</v>
      </c>
      <c r="C189" s="23">
        <f t="shared" si="10"/>
        <v>92.003777224961169</v>
      </c>
      <c r="D189" s="23">
        <f t="shared" si="8"/>
        <v>15.969333062829692</v>
      </c>
      <c r="E189" s="31">
        <f t="shared" si="11"/>
        <v>12771.057895670921</v>
      </c>
    </row>
    <row r="190" spans="1:5" s="22" customFormat="1" x14ac:dyDescent="0.2">
      <c r="A190" s="22">
        <v>173</v>
      </c>
      <c r="B190" s="23">
        <f t="shared" si="9"/>
        <v>107.97311028779086</v>
      </c>
      <c r="C190" s="23">
        <f t="shared" si="10"/>
        <v>92.11799878425289</v>
      </c>
      <c r="D190" s="23">
        <f t="shared" si="8"/>
        <v>15.855111503537968</v>
      </c>
      <c r="E190" s="31">
        <f t="shared" si="11"/>
        <v>12678.939896886668</v>
      </c>
    </row>
    <row r="191" spans="1:5" s="22" customFormat="1" x14ac:dyDescent="0.2">
      <c r="A191" s="22">
        <v>174</v>
      </c>
      <c r="B191" s="23">
        <f t="shared" si="9"/>
        <v>107.97311028779086</v>
      </c>
      <c r="C191" s="23">
        <f t="shared" si="10"/>
        <v>92.232362148207429</v>
      </c>
      <c r="D191" s="23">
        <f t="shared" si="8"/>
        <v>15.740748139583427</v>
      </c>
      <c r="E191" s="31">
        <f t="shared" si="11"/>
        <v>12586.70753473846</v>
      </c>
    </row>
    <row r="192" spans="1:5" s="22" customFormat="1" x14ac:dyDescent="0.2">
      <c r="A192" s="22">
        <v>175</v>
      </c>
      <c r="B192" s="23">
        <f t="shared" si="9"/>
        <v>107.97311028779086</v>
      </c>
      <c r="C192" s="23">
        <f t="shared" si="10"/>
        <v>92.346867492873528</v>
      </c>
      <c r="D192" s="23">
        <f t="shared" si="8"/>
        <v>15.626242794917326</v>
      </c>
      <c r="E192" s="31">
        <f t="shared" si="11"/>
        <v>12494.360667245586</v>
      </c>
    </row>
    <row r="193" spans="1:5" s="22" customFormat="1" x14ac:dyDescent="0.2">
      <c r="A193" s="22">
        <v>176</v>
      </c>
      <c r="B193" s="23">
        <f t="shared" si="9"/>
        <v>107.97311028779086</v>
      </c>
      <c r="C193" s="23">
        <f t="shared" si="10"/>
        <v>92.46151499451851</v>
      </c>
      <c r="D193" s="23">
        <f t="shared" si="8"/>
        <v>15.511595293272356</v>
      </c>
      <c r="E193" s="31">
        <f t="shared" si="11"/>
        <v>12401.899152251068</v>
      </c>
    </row>
    <row r="194" spans="1:5" s="22" customFormat="1" x14ac:dyDescent="0.2">
      <c r="A194" s="22">
        <v>177</v>
      </c>
      <c r="B194" s="23">
        <f t="shared" si="9"/>
        <v>107.97311028779086</v>
      </c>
      <c r="C194" s="23">
        <f t="shared" si="10"/>
        <v>92.576304829628498</v>
      </c>
      <c r="D194" s="23">
        <f t="shared" si="8"/>
        <v>15.396805458162369</v>
      </c>
      <c r="E194" s="31">
        <f t="shared" si="11"/>
        <v>12309.322847421439</v>
      </c>
    </row>
    <row r="195" spans="1:5" s="22" customFormat="1" x14ac:dyDescent="0.2">
      <c r="A195" s="22">
        <v>178</v>
      </c>
      <c r="B195" s="23">
        <f t="shared" si="9"/>
        <v>107.97311028779086</v>
      </c>
      <c r="C195" s="23">
        <f t="shared" si="10"/>
        <v>92.691237174908736</v>
      </c>
      <c r="D195" s="23">
        <f t="shared" si="8"/>
        <v>15.281873112882122</v>
      </c>
      <c r="E195" s="31">
        <f t="shared" si="11"/>
        <v>12216.63161024653</v>
      </c>
    </row>
    <row r="196" spans="1:5" s="22" customFormat="1" x14ac:dyDescent="0.2">
      <c r="A196" s="22">
        <v>179</v>
      </c>
      <c r="B196" s="23">
        <f t="shared" si="9"/>
        <v>107.97311028779086</v>
      </c>
      <c r="C196" s="23">
        <f t="shared" si="10"/>
        <v>92.806312207283867</v>
      </c>
      <c r="D196" s="23">
        <f t="shared" si="8"/>
        <v>15.166798080506986</v>
      </c>
      <c r="E196" s="31">
        <f t="shared" si="11"/>
        <v>12123.825298039246</v>
      </c>
    </row>
    <row r="197" spans="1:5" s="22" customFormat="1" x14ac:dyDescent="0.2">
      <c r="A197" s="22">
        <v>180</v>
      </c>
      <c r="B197" s="23">
        <f t="shared" si="9"/>
        <v>107.97311028779086</v>
      </c>
      <c r="C197" s="23">
        <f t="shared" si="10"/>
        <v>92.921530103898178</v>
      </c>
      <c r="D197" s="23">
        <f t="shared" si="8"/>
        <v>15.051580183892687</v>
      </c>
      <c r="E197" s="31">
        <f t="shared" si="11"/>
        <v>12030.903767935348</v>
      </c>
    </row>
    <row r="198" spans="1:5" s="22" customFormat="1" x14ac:dyDescent="0.2">
      <c r="A198" s="22">
        <v>181</v>
      </c>
      <c r="B198" s="23">
        <f t="shared" si="9"/>
        <v>107.97311028779086</v>
      </c>
      <c r="C198" s="23">
        <f t="shared" si="10"/>
        <v>93.03689104211584</v>
      </c>
      <c r="D198" s="23">
        <f t="shared" si="8"/>
        <v>14.936219245675025</v>
      </c>
      <c r="E198" s="31">
        <f t="shared" si="11"/>
        <v>11937.866876893231</v>
      </c>
    </row>
    <row r="199" spans="1:5" s="22" customFormat="1" x14ac:dyDescent="0.2">
      <c r="A199" s="22">
        <v>182</v>
      </c>
      <c r="B199" s="23">
        <f t="shared" si="9"/>
        <v>107.97311028779086</v>
      </c>
      <c r="C199" s="23">
        <f t="shared" si="10"/>
        <v>93.152395199521251</v>
      </c>
      <c r="D199" s="23">
        <f t="shared" si="8"/>
        <v>14.820715088269608</v>
      </c>
      <c r="E199" s="31">
        <f t="shared" si="11"/>
        <v>11844.714481693711</v>
      </c>
    </row>
    <row r="200" spans="1:5" s="22" customFormat="1" x14ac:dyDescent="0.2">
      <c r="A200" s="22">
        <v>183</v>
      </c>
      <c r="B200" s="23">
        <f t="shared" si="9"/>
        <v>107.97311028779086</v>
      </c>
      <c r="C200" s="23">
        <f t="shared" si="10"/>
        <v>93.268042753919289</v>
      </c>
      <c r="D200" s="23">
        <f t="shared" si="8"/>
        <v>14.705067533871576</v>
      </c>
      <c r="E200" s="31">
        <f t="shared" si="11"/>
        <v>11751.446438939791</v>
      </c>
    </row>
    <row r="201" spans="1:5" s="22" customFormat="1" x14ac:dyDescent="0.2">
      <c r="A201" s="22">
        <v>184</v>
      </c>
      <c r="B201" s="23">
        <f t="shared" si="9"/>
        <v>107.97311028779086</v>
      </c>
      <c r="C201" s="23">
        <f t="shared" si="10"/>
        <v>93.383833883335541</v>
      </c>
      <c r="D201" s="23">
        <f t="shared" si="8"/>
        <v>14.589276404455317</v>
      </c>
      <c r="E201" s="31">
        <f t="shared" si="11"/>
        <v>11658.062605056455</v>
      </c>
    </row>
    <row r="202" spans="1:5" s="22" customFormat="1" x14ac:dyDescent="0.2">
      <c r="A202" s="22">
        <v>185</v>
      </c>
      <c r="B202" s="23">
        <f t="shared" si="9"/>
        <v>107.97311028779086</v>
      </c>
      <c r="C202" s="23">
        <f t="shared" si="10"/>
        <v>93.499768766016643</v>
      </c>
      <c r="D202" s="23">
        <f t="shared" si="8"/>
        <v>14.473341521774216</v>
      </c>
      <c r="E202" s="31">
        <f t="shared" si="11"/>
        <v>11564.562836290439</v>
      </c>
    </row>
    <row r="203" spans="1:5" s="22" customFormat="1" x14ac:dyDescent="0.2">
      <c r="A203" s="22">
        <v>186</v>
      </c>
      <c r="B203" s="23">
        <f t="shared" si="9"/>
        <v>107.97311028779086</v>
      </c>
      <c r="C203" s="23">
        <f t="shared" si="10"/>
        <v>93.615847580430497</v>
      </c>
      <c r="D203" s="23">
        <f t="shared" si="8"/>
        <v>14.357262707360361</v>
      </c>
      <c r="E203" s="31">
        <f t="shared" si="11"/>
        <v>11470.946988710008</v>
      </c>
    </row>
    <row r="204" spans="1:5" s="22" customFormat="1" x14ac:dyDescent="0.2">
      <c r="A204" s="22">
        <v>187</v>
      </c>
      <c r="B204" s="23">
        <f t="shared" si="9"/>
        <v>107.97311028779086</v>
      </c>
      <c r="C204" s="23">
        <f t="shared" si="10"/>
        <v>93.732070505266591</v>
      </c>
      <c r="D204" s="23">
        <f t="shared" si="8"/>
        <v>14.241039782524268</v>
      </c>
      <c r="E204" s="31">
        <f t="shared" si="11"/>
        <v>11377.214918204741</v>
      </c>
    </row>
    <row r="205" spans="1:5" s="22" customFormat="1" x14ac:dyDescent="0.2">
      <c r="A205" s="22">
        <v>188</v>
      </c>
      <c r="B205" s="23">
        <f t="shared" si="9"/>
        <v>107.97311028779086</v>
      </c>
      <c r="C205" s="23">
        <f t="shared" si="10"/>
        <v>93.848437719436234</v>
      </c>
      <c r="D205" s="23">
        <f t="shared" si="8"/>
        <v>14.124672568354622</v>
      </c>
      <c r="E205" s="31">
        <f t="shared" si="11"/>
        <v>11283.366480485305</v>
      </c>
    </row>
    <row r="206" spans="1:5" s="22" customFormat="1" x14ac:dyDescent="0.2">
      <c r="A206" s="22">
        <v>189</v>
      </c>
      <c r="B206" s="23">
        <f t="shared" si="9"/>
        <v>107.97311028779086</v>
      </c>
      <c r="C206" s="23">
        <f t="shared" si="10"/>
        <v>93.964949402072875</v>
      </c>
      <c r="D206" s="23">
        <f t="shared" si="8"/>
        <v>14.008160885717988</v>
      </c>
      <c r="E206" s="31">
        <f t="shared" si="11"/>
        <v>11189.401531083233</v>
      </c>
    </row>
    <row r="207" spans="1:5" s="22" customFormat="1" x14ac:dyDescent="0.2">
      <c r="A207" s="22">
        <v>190</v>
      </c>
      <c r="B207" s="23">
        <f t="shared" si="9"/>
        <v>107.97311028779086</v>
      </c>
      <c r="C207" s="23">
        <f t="shared" si="10"/>
        <v>94.081605732532324</v>
      </c>
      <c r="D207" s="23">
        <f t="shared" si="8"/>
        <v>13.891504555258537</v>
      </c>
      <c r="E207" s="31">
        <f t="shared" si="11"/>
        <v>11095.319925350701</v>
      </c>
    </row>
    <row r="208" spans="1:5" s="22" customFormat="1" x14ac:dyDescent="0.2">
      <c r="A208" s="22">
        <v>191</v>
      </c>
      <c r="B208" s="23">
        <f t="shared" si="9"/>
        <v>107.97311028779086</v>
      </c>
      <c r="C208" s="23">
        <f t="shared" si="10"/>
        <v>94.198406890393088</v>
      </c>
      <c r="D208" s="23">
        <f t="shared" si="8"/>
        <v>13.774703397397776</v>
      </c>
      <c r="E208" s="31">
        <f t="shared" si="11"/>
        <v>11001.121518460308</v>
      </c>
    </row>
    <row r="209" spans="1:5" s="22" customFormat="1" x14ac:dyDescent="0.2">
      <c r="A209" s="22">
        <v>192</v>
      </c>
      <c r="B209" s="23">
        <f t="shared" si="9"/>
        <v>107.97311028779086</v>
      </c>
      <c r="C209" s="23">
        <f t="shared" si="10"/>
        <v>94.315353055456598</v>
      </c>
      <c r="D209" s="23">
        <f t="shared" si="8"/>
        <v>13.657757232334262</v>
      </c>
      <c r="E209" s="31">
        <f t="shared" si="11"/>
        <v>10906.806165404851</v>
      </c>
    </row>
    <row r="210" spans="1:5" s="22" customFormat="1" x14ac:dyDescent="0.2">
      <c r="A210" s="22">
        <v>193</v>
      </c>
      <c r="B210" s="23">
        <f t="shared" si="9"/>
        <v>107.97311028779086</v>
      </c>
      <c r="C210" s="23">
        <f t="shared" si="10"/>
        <v>94.432444407747525</v>
      </c>
      <c r="D210" s="23">
        <f t="shared" ref="D210:D273" si="12">E209*B$7</f>
        <v>13.540665880043335</v>
      </c>
      <c r="E210" s="31">
        <f t="shared" si="11"/>
        <v>10812.373720997102</v>
      </c>
    </row>
    <row r="211" spans="1:5" s="22" customFormat="1" x14ac:dyDescent="0.2">
      <c r="A211" s="22">
        <v>194</v>
      </c>
      <c r="B211" s="23">
        <f t="shared" ref="B211:B274" si="13">B$9</f>
        <v>107.97311028779086</v>
      </c>
      <c r="C211" s="23">
        <f t="shared" ref="C211:C274" si="14">B211-D211</f>
        <v>94.54968112751402</v>
      </c>
      <c r="D211" s="23">
        <f t="shared" si="12"/>
        <v>13.423429160276836</v>
      </c>
      <c r="E211" s="31">
        <f t="shared" ref="E211:E274" si="15">E210-C211</f>
        <v>10717.824039869589</v>
      </c>
    </row>
    <row r="212" spans="1:5" s="22" customFormat="1" x14ac:dyDescent="0.2">
      <c r="A212" s="22">
        <v>195</v>
      </c>
      <c r="B212" s="23">
        <f t="shared" si="13"/>
        <v>107.97311028779086</v>
      </c>
      <c r="C212" s="23">
        <f t="shared" si="14"/>
        <v>94.667063395228027</v>
      </c>
      <c r="D212" s="23">
        <f t="shared" si="12"/>
        <v>13.306046892562833</v>
      </c>
      <c r="E212" s="31">
        <f t="shared" si="15"/>
        <v>10623.156976474362</v>
      </c>
    </row>
    <row r="213" spans="1:5" s="22" customFormat="1" x14ac:dyDescent="0.2">
      <c r="A213" s="22">
        <v>196</v>
      </c>
      <c r="B213" s="23">
        <f t="shared" si="13"/>
        <v>107.97311028779086</v>
      </c>
      <c r="C213" s="23">
        <f t="shared" si="14"/>
        <v>94.784591391585522</v>
      </c>
      <c r="D213" s="23">
        <f t="shared" si="12"/>
        <v>13.188518896205332</v>
      </c>
      <c r="E213" s="31">
        <f t="shared" si="15"/>
        <v>10528.372385082776</v>
      </c>
    </row>
    <row r="214" spans="1:5" s="22" customFormat="1" x14ac:dyDescent="0.2">
      <c r="A214" s="22">
        <v>197</v>
      </c>
      <c r="B214" s="23">
        <f t="shared" si="13"/>
        <v>107.97311028779086</v>
      </c>
      <c r="C214" s="23">
        <f t="shared" si="14"/>
        <v>94.902265297506844</v>
      </c>
      <c r="D214" s="23">
        <f t="shared" si="12"/>
        <v>13.070844990284016</v>
      </c>
      <c r="E214" s="31">
        <f t="shared" si="15"/>
        <v>10433.470119785268</v>
      </c>
    </row>
    <row r="215" spans="1:5" s="22" customFormat="1" x14ac:dyDescent="0.2">
      <c r="A215" s="22">
        <v>198</v>
      </c>
      <c r="B215" s="23">
        <f t="shared" si="13"/>
        <v>107.97311028779086</v>
      </c>
      <c r="C215" s="23">
        <f t="shared" si="14"/>
        <v>95.020085294136905</v>
      </c>
      <c r="D215" s="23">
        <f t="shared" si="12"/>
        <v>12.953024993653949</v>
      </c>
      <c r="E215" s="31">
        <f t="shared" si="15"/>
        <v>10338.450034491132</v>
      </c>
    </row>
    <row r="216" spans="1:5" s="22" customFormat="1" x14ac:dyDescent="0.2">
      <c r="A216" s="22">
        <v>199</v>
      </c>
      <c r="B216" s="23">
        <f t="shared" si="13"/>
        <v>107.97311028779086</v>
      </c>
      <c r="C216" s="23">
        <f t="shared" si="14"/>
        <v>95.138051562845547</v>
      </c>
      <c r="D216" s="23">
        <f t="shared" si="12"/>
        <v>12.835058724945318</v>
      </c>
      <c r="E216" s="31">
        <f t="shared" si="15"/>
        <v>10243.311982928286</v>
      </c>
    </row>
    <row r="217" spans="1:5" s="22" customFormat="1" x14ac:dyDescent="0.2">
      <c r="A217" s="22">
        <v>200</v>
      </c>
      <c r="B217" s="23">
        <f t="shared" si="13"/>
        <v>107.97311028779086</v>
      </c>
      <c r="C217" s="23">
        <f t="shared" si="14"/>
        <v>95.256164285227726</v>
      </c>
      <c r="D217" s="23">
        <f t="shared" si="12"/>
        <v>12.716946002563127</v>
      </c>
      <c r="E217" s="31">
        <f t="shared" si="15"/>
        <v>10148.055818643059</v>
      </c>
    </row>
    <row r="218" spans="1:5" s="22" customFormat="1" x14ac:dyDescent="0.2">
      <c r="A218" s="22">
        <v>201</v>
      </c>
      <c r="B218" s="23">
        <f t="shared" si="13"/>
        <v>107.97311028779086</v>
      </c>
      <c r="C218" s="23">
        <f t="shared" si="14"/>
        <v>95.37442364310391</v>
      </c>
      <c r="D218" s="23">
        <f t="shared" si="12"/>
        <v>12.598686644686943</v>
      </c>
      <c r="E218" s="31">
        <f t="shared" si="15"/>
        <v>10052.681394999956</v>
      </c>
    </row>
    <row r="219" spans="1:5" s="22" customFormat="1" x14ac:dyDescent="0.2">
      <c r="A219" s="22">
        <v>202</v>
      </c>
      <c r="B219" s="23">
        <f t="shared" si="13"/>
        <v>107.97311028779086</v>
      </c>
      <c r="C219" s="23">
        <f t="shared" si="14"/>
        <v>95.492829818520264</v>
      </c>
      <c r="D219" s="23">
        <f t="shared" si="12"/>
        <v>12.480280469270602</v>
      </c>
      <c r="E219" s="31">
        <f t="shared" si="15"/>
        <v>9957.1885651814355</v>
      </c>
    </row>
    <row r="220" spans="1:5" s="22" customFormat="1" x14ac:dyDescent="0.2">
      <c r="A220" s="22">
        <v>203</v>
      </c>
      <c r="B220" s="23">
        <f t="shared" si="13"/>
        <v>107.97311028779086</v>
      </c>
      <c r="C220" s="23">
        <f t="shared" si="14"/>
        <v>95.611382993748933</v>
      </c>
      <c r="D220" s="23">
        <f t="shared" si="12"/>
        <v>12.361727294041927</v>
      </c>
      <c r="E220" s="31">
        <f t="shared" si="15"/>
        <v>9861.577182187686</v>
      </c>
    </row>
    <row r="221" spans="1:5" s="22" customFormat="1" x14ac:dyDescent="0.2">
      <c r="A221" s="22">
        <v>204</v>
      </c>
      <c r="B221" s="23">
        <f t="shared" si="13"/>
        <v>107.97311028779086</v>
      </c>
      <c r="C221" s="23">
        <f t="shared" si="14"/>
        <v>95.7300833512884</v>
      </c>
      <c r="D221" s="23">
        <f t="shared" si="12"/>
        <v>12.24302693650246</v>
      </c>
      <c r="E221" s="31">
        <f t="shared" si="15"/>
        <v>9765.847098836397</v>
      </c>
    </row>
    <row r="222" spans="1:5" s="22" customFormat="1" x14ac:dyDescent="0.2">
      <c r="A222" s="22">
        <v>205</v>
      </c>
      <c r="B222" s="23">
        <f t="shared" si="13"/>
        <v>107.97311028779086</v>
      </c>
      <c r="C222" s="23">
        <f t="shared" si="14"/>
        <v>95.848931073863696</v>
      </c>
      <c r="D222" s="23">
        <f t="shared" si="12"/>
        <v>12.124179213927169</v>
      </c>
      <c r="E222" s="31">
        <f t="shared" si="15"/>
        <v>9669.9981677625328</v>
      </c>
    </row>
    <row r="223" spans="1:5" s="22" customFormat="1" x14ac:dyDescent="0.2">
      <c r="A223" s="22">
        <v>206</v>
      </c>
      <c r="B223" s="23">
        <f t="shared" si="13"/>
        <v>107.97311028779086</v>
      </c>
      <c r="C223" s="23">
        <f t="shared" si="14"/>
        <v>95.967926344426687</v>
      </c>
      <c r="D223" s="23">
        <f t="shared" si="12"/>
        <v>12.005183943364173</v>
      </c>
      <c r="E223" s="31">
        <f t="shared" si="15"/>
        <v>9574.030241418106</v>
      </c>
    </row>
    <row r="224" spans="1:5" s="22" customFormat="1" x14ac:dyDescent="0.2">
      <c r="A224" s="22">
        <v>207</v>
      </c>
      <c r="B224" s="23">
        <f t="shared" si="13"/>
        <v>107.97311028779086</v>
      </c>
      <c r="C224" s="23">
        <f t="shared" si="14"/>
        <v>96.087069346156397</v>
      </c>
      <c r="D224" s="23">
        <f t="shared" si="12"/>
        <v>11.886040941634459</v>
      </c>
      <c r="E224" s="31">
        <f t="shared" si="15"/>
        <v>9477.9431720719494</v>
      </c>
    </row>
    <row r="225" spans="1:5" s="22" customFormat="1" x14ac:dyDescent="0.2">
      <c r="A225" s="22">
        <v>208</v>
      </c>
      <c r="B225" s="23">
        <f t="shared" si="13"/>
        <v>107.97311028779086</v>
      </c>
      <c r="C225" s="23">
        <f t="shared" si="14"/>
        <v>96.20636026245927</v>
      </c>
      <c r="D225" s="23">
        <f t="shared" si="12"/>
        <v>11.766750025331596</v>
      </c>
      <c r="E225" s="31">
        <f t="shared" si="15"/>
        <v>9381.736811809491</v>
      </c>
    </row>
    <row r="226" spans="1:5" s="22" customFormat="1" x14ac:dyDescent="0.2">
      <c r="A226" s="22">
        <v>209</v>
      </c>
      <c r="B226" s="23">
        <f t="shared" si="13"/>
        <v>107.97311028779086</v>
      </c>
      <c r="C226" s="23">
        <f t="shared" si="14"/>
        <v>96.325799276969406</v>
      </c>
      <c r="D226" s="23">
        <f t="shared" si="12"/>
        <v>11.647311010821461</v>
      </c>
      <c r="E226" s="31">
        <f t="shared" si="15"/>
        <v>9285.4110125325224</v>
      </c>
    </row>
    <row r="227" spans="1:5" s="22" customFormat="1" x14ac:dyDescent="0.2">
      <c r="A227" s="22">
        <v>210</v>
      </c>
      <c r="B227" s="23">
        <f t="shared" si="13"/>
        <v>107.97311028779086</v>
      </c>
      <c r="C227" s="23">
        <f t="shared" si="14"/>
        <v>96.445386573548916</v>
      </c>
      <c r="D227" s="23">
        <f t="shared" si="12"/>
        <v>11.527723714241946</v>
      </c>
      <c r="E227" s="31">
        <f t="shared" si="15"/>
        <v>9188.9656259589738</v>
      </c>
    </row>
    <row r="228" spans="1:5" s="22" customFormat="1" x14ac:dyDescent="0.2">
      <c r="A228" s="22">
        <v>211</v>
      </c>
      <c r="B228" s="23">
        <f t="shared" si="13"/>
        <v>107.97311028779086</v>
      </c>
      <c r="C228" s="23">
        <f t="shared" si="14"/>
        <v>96.565122336288169</v>
      </c>
      <c r="D228" s="23">
        <f t="shared" si="12"/>
        <v>11.407987951502683</v>
      </c>
      <c r="E228" s="31">
        <f t="shared" si="15"/>
        <v>9092.4005036226863</v>
      </c>
    </row>
    <row r="229" spans="1:5" s="22" customFormat="1" x14ac:dyDescent="0.2">
      <c r="A229" s="22">
        <v>212</v>
      </c>
      <c r="B229" s="23">
        <f t="shared" si="13"/>
        <v>107.97311028779086</v>
      </c>
      <c r="C229" s="23">
        <f t="shared" si="14"/>
        <v>96.685006749506101</v>
      </c>
      <c r="D229" s="23">
        <f t="shared" si="12"/>
        <v>11.28810353828476</v>
      </c>
      <c r="E229" s="31">
        <f t="shared" si="15"/>
        <v>8995.7154968731811</v>
      </c>
    </row>
    <row r="230" spans="1:5" s="22" customFormat="1" x14ac:dyDescent="0.2">
      <c r="A230" s="22">
        <v>213</v>
      </c>
      <c r="B230" s="23">
        <f t="shared" si="13"/>
        <v>107.97311028779086</v>
      </c>
      <c r="C230" s="23">
        <f t="shared" si="14"/>
        <v>96.805039997750427</v>
      </c>
      <c r="D230" s="23">
        <f t="shared" si="12"/>
        <v>11.168070290040435</v>
      </c>
      <c r="E230" s="31">
        <f t="shared" si="15"/>
        <v>8898.9104568754301</v>
      </c>
    </row>
    <row r="231" spans="1:5" s="22" customFormat="1" x14ac:dyDescent="0.2">
      <c r="A231" s="22">
        <v>214</v>
      </c>
      <c r="B231" s="23">
        <f t="shared" si="13"/>
        <v>107.97311028779086</v>
      </c>
      <c r="C231" s="23">
        <f t="shared" si="14"/>
        <v>96.925222265798013</v>
      </c>
      <c r="D231" s="23">
        <f t="shared" si="12"/>
        <v>11.047888021992847</v>
      </c>
      <c r="E231" s="31">
        <f t="shared" si="15"/>
        <v>8801.9852346096322</v>
      </c>
    </row>
    <row r="232" spans="1:5" s="22" customFormat="1" x14ac:dyDescent="0.2">
      <c r="A232" s="22">
        <v>215</v>
      </c>
      <c r="B232" s="23">
        <f t="shared" si="13"/>
        <v>107.97311028779086</v>
      </c>
      <c r="C232" s="23">
        <f t="shared" si="14"/>
        <v>97.045553738655116</v>
      </c>
      <c r="D232" s="23">
        <f t="shared" si="12"/>
        <v>10.927556549135742</v>
      </c>
      <c r="E232" s="31">
        <f t="shared" si="15"/>
        <v>8704.9396808709771</v>
      </c>
    </row>
    <row r="233" spans="1:5" s="22" customFormat="1" x14ac:dyDescent="0.2">
      <c r="A233" s="22">
        <v>216</v>
      </c>
      <c r="B233" s="23">
        <f t="shared" si="13"/>
        <v>107.97311028779086</v>
      </c>
      <c r="C233" s="23">
        <f t="shared" si="14"/>
        <v>97.166034601557669</v>
      </c>
      <c r="D233" s="23">
        <f t="shared" si="12"/>
        <v>10.807075686233185</v>
      </c>
      <c r="E233" s="31">
        <f t="shared" si="15"/>
        <v>8607.7736462694193</v>
      </c>
    </row>
    <row r="234" spans="1:5" s="22" customFormat="1" x14ac:dyDescent="0.2">
      <c r="A234" s="22">
        <v>217</v>
      </c>
      <c r="B234" s="23">
        <f t="shared" si="13"/>
        <v>107.97311028779086</v>
      </c>
      <c r="C234" s="23">
        <f t="shared" si="14"/>
        <v>97.286665039971595</v>
      </c>
      <c r="D234" s="23">
        <f t="shared" si="12"/>
        <v>10.686445247819265</v>
      </c>
      <c r="E234" s="31">
        <f t="shared" si="15"/>
        <v>8510.4869812294473</v>
      </c>
    </row>
    <row r="235" spans="1:5" s="22" customFormat="1" x14ac:dyDescent="0.2">
      <c r="A235" s="22">
        <v>218</v>
      </c>
      <c r="B235" s="23">
        <f t="shared" si="13"/>
        <v>107.97311028779086</v>
      </c>
      <c r="C235" s="23">
        <f t="shared" si="14"/>
        <v>97.407445239593031</v>
      </c>
      <c r="D235" s="23">
        <f t="shared" si="12"/>
        <v>10.565665048197825</v>
      </c>
      <c r="E235" s="31">
        <f t="shared" si="15"/>
        <v>8413.0795359898548</v>
      </c>
    </row>
    <row r="236" spans="1:5" s="22" customFormat="1" x14ac:dyDescent="0.2">
      <c r="A236" s="22">
        <v>219</v>
      </c>
      <c r="B236" s="23">
        <f t="shared" si="13"/>
        <v>107.97311028779086</v>
      </c>
      <c r="C236" s="23">
        <f t="shared" si="14"/>
        <v>97.528375386348699</v>
      </c>
      <c r="D236" s="23">
        <f t="shared" si="12"/>
        <v>10.444734901442166</v>
      </c>
      <c r="E236" s="31">
        <f t="shared" si="15"/>
        <v>8315.5511606035052</v>
      </c>
    </row>
    <row r="237" spans="1:5" s="22" customFormat="1" x14ac:dyDescent="0.2">
      <c r="A237" s="22">
        <v>220</v>
      </c>
      <c r="B237" s="23">
        <f t="shared" si="13"/>
        <v>107.97311028779086</v>
      </c>
      <c r="C237" s="23">
        <f t="shared" si="14"/>
        <v>97.649455666396108</v>
      </c>
      <c r="D237" s="23">
        <f t="shared" si="12"/>
        <v>10.323654621394759</v>
      </c>
      <c r="E237" s="31">
        <f t="shared" si="15"/>
        <v>8217.9017049371087</v>
      </c>
    </row>
    <row r="238" spans="1:5" s="22" customFormat="1" x14ac:dyDescent="0.2">
      <c r="A238" s="22">
        <v>221</v>
      </c>
      <c r="B238" s="23">
        <f t="shared" si="13"/>
        <v>107.97311028779086</v>
      </c>
      <c r="C238" s="23">
        <f t="shared" si="14"/>
        <v>97.770686266123889</v>
      </c>
      <c r="D238" s="23">
        <f t="shared" si="12"/>
        <v>10.202424021666969</v>
      </c>
      <c r="E238" s="31">
        <f t="shared" si="15"/>
        <v>8120.1310186709852</v>
      </c>
    </row>
    <row r="239" spans="1:5" s="22" customFormat="1" x14ac:dyDescent="0.2">
      <c r="A239" s="22">
        <v>222</v>
      </c>
      <c r="B239" s="23">
        <f t="shared" si="13"/>
        <v>107.97311028779086</v>
      </c>
      <c r="C239" s="23">
        <f t="shared" si="14"/>
        <v>97.892067372152098</v>
      </c>
      <c r="D239" s="23">
        <f t="shared" si="12"/>
        <v>10.081042915638761</v>
      </c>
      <c r="E239" s="31">
        <f t="shared" si="15"/>
        <v>8022.2389512988329</v>
      </c>
    </row>
    <row r="240" spans="1:5" s="22" customFormat="1" x14ac:dyDescent="0.2">
      <c r="A240" s="22">
        <v>223</v>
      </c>
      <c r="B240" s="23">
        <f t="shared" si="13"/>
        <v>107.97311028779086</v>
      </c>
      <c r="C240" s="23">
        <f t="shared" si="14"/>
        <v>98.013599171332444</v>
      </c>
      <c r="D240" s="23">
        <f t="shared" si="12"/>
        <v>9.95951111645841</v>
      </c>
      <c r="E240" s="31">
        <f t="shared" si="15"/>
        <v>7924.2253521275006</v>
      </c>
    </row>
    <row r="241" spans="1:5" s="22" customFormat="1" x14ac:dyDescent="0.2">
      <c r="A241" s="22">
        <v>224</v>
      </c>
      <c r="B241" s="23">
        <f t="shared" si="13"/>
        <v>107.97311028779086</v>
      </c>
      <c r="C241" s="23">
        <f t="shared" si="14"/>
        <v>98.13528185074864</v>
      </c>
      <c r="D241" s="23">
        <f t="shared" si="12"/>
        <v>9.8378284370422175</v>
      </c>
      <c r="E241" s="31">
        <f t="shared" si="15"/>
        <v>7826.0900702767522</v>
      </c>
    </row>
    <row r="242" spans="1:5" s="22" customFormat="1" x14ac:dyDescent="0.2">
      <c r="A242" s="22">
        <v>225</v>
      </c>
      <c r="B242" s="23">
        <f t="shared" si="13"/>
        <v>107.97311028779086</v>
      </c>
      <c r="C242" s="23">
        <f t="shared" si="14"/>
        <v>98.257115597716634</v>
      </c>
      <c r="D242" s="23">
        <f t="shared" si="12"/>
        <v>9.7159946900742256</v>
      </c>
      <c r="E242" s="31">
        <f t="shared" si="15"/>
        <v>7727.8329546790355</v>
      </c>
    </row>
    <row r="243" spans="1:5" s="22" customFormat="1" x14ac:dyDescent="0.2">
      <c r="A243" s="22">
        <v>226</v>
      </c>
      <c r="B243" s="23">
        <f t="shared" si="13"/>
        <v>107.97311028779086</v>
      </c>
      <c r="C243" s="23">
        <f t="shared" si="14"/>
        <v>98.379100599784934</v>
      </c>
      <c r="D243" s="23">
        <f t="shared" si="12"/>
        <v>9.594009688005924</v>
      </c>
      <c r="E243" s="31">
        <f t="shared" si="15"/>
        <v>7629.453854079251</v>
      </c>
    </row>
    <row r="244" spans="1:5" s="22" customFormat="1" x14ac:dyDescent="0.2">
      <c r="A244" s="22">
        <v>227</v>
      </c>
      <c r="B244" s="23">
        <f t="shared" si="13"/>
        <v>107.97311028779086</v>
      </c>
      <c r="C244" s="23">
        <f t="shared" si="14"/>
        <v>98.501237044734893</v>
      </c>
      <c r="D244" s="23">
        <f t="shared" si="12"/>
        <v>9.4718732430559651</v>
      </c>
      <c r="E244" s="31">
        <f t="shared" si="15"/>
        <v>7530.9526170345162</v>
      </c>
    </row>
    <row r="245" spans="1:5" s="22" customFormat="1" x14ac:dyDescent="0.2">
      <c r="A245" s="22">
        <v>228</v>
      </c>
      <c r="B245" s="23">
        <f t="shared" si="13"/>
        <v>107.97311028779086</v>
      </c>
      <c r="C245" s="23">
        <f t="shared" si="14"/>
        <v>98.623525120580993</v>
      </c>
      <c r="D245" s="23">
        <f t="shared" si="12"/>
        <v>9.3495851672098684</v>
      </c>
      <c r="E245" s="31">
        <f t="shared" si="15"/>
        <v>7432.3290919139354</v>
      </c>
    </row>
    <row r="246" spans="1:5" s="22" customFormat="1" x14ac:dyDescent="0.2">
      <c r="A246" s="22">
        <v>229</v>
      </c>
      <c r="B246" s="23">
        <f t="shared" si="13"/>
        <v>107.97311028779086</v>
      </c>
      <c r="C246" s="23">
        <f t="shared" si="14"/>
        <v>98.745965015571116</v>
      </c>
      <c r="D246" s="23">
        <f t="shared" si="12"/>
        <v>9.2271452722197402</v>
      </c>
      <c r="E246" s="31">
        <f t="shared" si="15"/>
        <v>7333.5831268983638</v>
      </c>
    </row>
    <row r="247" spans="1:5" s="22" customFormat="1" x14ac:dyDescent="0.2">
      <c r="A247" s="22">
        <v>230</v>
      </c>
      <c r="B247" s="23">
        <f t="shared" si="13"/>
        <v>107.97311028779086</v>
      </c>
      <c r="C247" s="23">
        <f t="shared" si="14"/>
        <v>98.868556918186883</v>
      </c>
      <c r="D247" s="23">
        <f t="shared" si="12"/>
        <v>9.1045533696039787</v>
      </c>
      <c r="E247" s="31">
        <f t="shared" si="15"/>
        <v>7234.7145699801767</v>
      </c>
    </row>
    <row r="248" spans="1:5" s="22" customFormat="1" x14ac:dyDescent="0.2">
      <c r="A248" s="22">
        <v>231</v>
      </c>
      <c r="B248" s="23">
        <f t="shared" si="13"/>
        <v>107.97311028779086</v>
      </c>
      <c r="C248" s="23">
        <f t="shared" si="14"/>
        <v>98.991301017143883</v>
      </c>
      <c r="D248" s="23">
        <f t="shared" si="12"/>
        <v>8.9818092706469841</v>
      </c>
      <c r="E248" s="31">
        <f t="shared" si="15"/>
        <v>7135.7232689630328</v>
      </c>
    </row>
    <row r="249" spans="1:5" s="22" customFormat="1" x14ac:dyDescent="0.2">
      <c r="A249" s="22">
        <v>232</v>
      </c>
      <c r="B249" s="23">
        <f t="shared" si="13"/>
        <v>107.97311028779086</v>
      </c>
      <c r="C249" s="23">
        <f t="shared" si="14"/>
        <v>99.114197501391999</v>
      </c>
      <c r="D249" s="23">
        <f t="shared" si="12"/>
        <v>8.8589127863988661</v>
      </c>
      <c r="E249" s="31">
        <f t="shared" si="15"/>
        <v>7036.6090714616412</v>
      </c>
    </row>
    <row r="250" spans="1:5" s="22" customFormat="1" x14ac:dyDescent="0.2">
      <c r="A250" s="22">
        <v>233</v>
      </c>
      <c r="B250" s="23">
        <f t="shared" si="13"/>
        <v>107.97311028779086</v>
      </c>
      <c r="C250" s="23">
        <f t="shared" si="14"/>
        <v>99.237246560115693</v>
      </c>
      <c r="D250" s="23">
        <f t="shared" si="12"/>
        <v>8.7358637276751612</v>
      </c>
      <c r="E250" s="31">
        <f t="shared" si="15"/>
        <v>6937.3718249015255</v>
      </c>
    </row>
    <row r="251" spans="1:5" s="22" customFormat="1" x14ac:dyDescent="0.2">
      <c r="A251" s="22">
        <v>234</v>
      </c>
      <c r="B251" s="23">
        <f t="shared" si="13"/>
        <v>107.97311028779086</v>
      </c>
      <c r="C251" s="23">
        <f t="shared" si="14"/>
        <v>99.360448382734333</v>
      </c>
      <c r="D251" s="23">
        <f t="shared" si="12"/>
        <v>8.6126619050565303</v>
      </c>
      <c r="E251" s="31">
        <f t="shared" si="15"/>
        <v>6838.0113765187916</v>
      </c>
    </row>
    <row r="252" spans="1:5" s="22" customFormat="1" x14ac:dyDescent="0.2">
      <c r="A252" s="22">
        <v>235</v>
      </c>
      <c r="B252" s="23">
        <f t="shared" si="13"/>
        <v>107.97311028779086</v>
      </c>
      <c r="C252" s="23">
        <f t="shared" si="14"/>
        <v>99.48380315890239</v>
      </c>
      <c r="D252" s="23">
        <f t="shared" si="12"/>
        <v>8.4893071288884734</v>
      </c>
      <c r="E252" s="31">
        <f t="shared" si="15"/>
        <v>6738.5275733598892</v>
      </c>
    </row>
    <row r="253" spans="1:5" s="22" customFormat="1" x14ac:dyDescent="0.2">
      <c r="A253" s="22">
        <v>236</v>
      </c>
      <c r="B253" s="23">
        <f t="shared" si="13"/>
        <v>107.97311028779086</v>
      </c>
      <c r="C253" s="23">
        <f t="shared" si="14"/>
        <v>99.607311078509824</v>
      </c>
      <c r="D253" s="23">
        <f t="shared" si="12"/>
        <v>8.3657992092810396</v>
      </c>
      <c r="E253" s="31">
        <f t="shared" si="15"/>
        <v>6638.9202622813791</v>
      </c>
    </row>
    <row r="254" spans="1:5" s="22" customFormat="1" x14ac:dyDescent="0.2">
      <c r="A254" s="22">
        <v>237</v>
      </c>
      <c r="B254" s="23">
        <f t="shared" si="13"/>
        <v>107.97311028779086</v>
      </c>
      <c r="C254" s="23">
        <f t="shared" si="14"/>
        <v>99.730972331682338</v>
      </c>
      <c r="D254" s="23">
        <f t="shared" si="12"/>
        <v>8.2421379561085271</v>
      </c>
      <c r="E254" s="31">
        <f t="shared" si="15"/>
        <v>6539.189289949697</v>
      </c>
    </row>
    <row r="255" spans="1:5" s="22" customFormat="1" x14ac:dyDescent="0.2">
      <c r="A255" s="22">
        <v>238</v>
      </c>
      <c r="B255" s="23">
        <f t="shared" si="13"/>
        <v>107.97311028779086</v>
      </c>
      <c r="C255" s="23">
        <f t="shared" si="14"/>
        <v>99.854787108781665</v>
      </c>
      <c r="D255" s="23">
        <f t="shared" si="12"/>
        <v>8.1183231790092005</v>
      </c>
      <c r="E255" s="31">
        <f t="shared" si="15"/>
        <v>6439.3345028409158</v>
      </c>
    </row>
    <row r="256" spans="1:5" s="22" customFormat="1" x14ac:dyDescent="0.2">
      <c r="A256" s="22">
        <v>239</v>
      </c>
      <c r="B256" s="23">
        <f t="shared" si="13"/>
        <v>107.97311028779086</v>
      </c>
      <c r="C256" s="23">
        <f t="shared" si="14"/>
        <v>99.978755600405862</v>
      </c>
      <c r="D256" s="23">
        <f t="shared" si="12"/>
        <v>7.994354687384992</v>
      </c>
      <c r="E256" s="31">
        <f t="shared" si="15"/>
        <v>6339.35574724051</v>
      </c>
    </row>
    <row r="257" spans="1:5" s="22" customFormat="1" x14ac:dyDescent="0.2">
      <c r="A257" s="22">
        <v>240</v>
      </c>
      <c r="B257" s="23">
        <f t="shared" si="13"/>
        <v>107.97311028779086</v>
      </c>
      <c r="C257" s="23">
        <f t="shared" si="14"/>
        <v>100.10287799738965</v>
      </c>
      <c r="D257" s="23">
        <f t="shared" si="12"/>
        <v>7.8702322904012041</v>
      </c>
      <c r="E257" s="31">
        <f t="shared" si="15"/>
        <v>6239.2528692431206</v>
      </c>
    </row>
    <row r="258" spans="1:5" s="22" customFormat="1" x14ac:dyDescent="0.2">
      <c r="A258" s="22">
        <v>241</v>
      </c>
      <c r="B258" s="23">
        <f t="shared" si="13"/>
        <v>107.97311028779086</v>
      </c>
      <c r="C258" s="23">
        <f t="shared" si="14"/>
        <v>100.22715449080464</v>
      </c>
      <c r="D258" s="23">
        <f t="shared" si="12"/>
        <v>7.7459557969862249</v>
      </c>
      <c r="E258" s="31">
        <f t="shared" si="15"/>
        <v>6139.0257147523162</v>
      </c>
    </row>
    <row r="259" spans="1:5" s="22" customFormat="1" x14ac:dyDescent="0.2">
      <c r="A259" s="22">
        <v>242</v>
      </c>
      <c r="B259" s="23">
        <f t="shared" si="13"/>
        <v>107.97311028779086</v>
      </c>
      <c r="C259" s="23">
        <f t="shared" si="14"/>
        <v>100.35158527195964</v>
      </c>
      <c r="D259" s="23">
        <f t="shared" si="12"/>
        <v>7.6215250158312271</v>
      </c>
      <c r="E259" s="31">
        <f t="shared" si="15"/>
        <v>6038.6741294803569</v>
      </c>
    </row>
    <row r="260" spans="1:5" s="22" customFormat="1" x14ac:dyDescent="0.2">
      <c r="A260" s="22">
        <v>243</v>
      </c>
      <c r="B260" s="23">
        <f t="shared" si="13"/>
        <v>107.97311028779086</v>
      </c>
      <c r="C260" s="23">
        <f t="shared" si="14"/>
        <v>100.47617053240099</v>
      </c>
      <c r="D260" s="23">
        <f t="shared" si="12"/>
        <v>7.496939755389878</v>
      </c>
      <c r="E260" s="31">
        <f t="shared" si="15"/>
        <v>5938.1979589479561</v>
      </c>
    </row>
    <row r="261" spans="1:5" s="22" customFormat="1" x14ac:dyDescent="0.2">
      <c r="A261" s="22">
        <v>244</v>
      </c>
      <c r="B261" s="23">
        <f t="shared" si="13"/>
        <v>107.97311028779086</v>
      </c>
      <c r="C261" s="23">
        <f t="shared" si="14"/>
        <v>100.60091046391283</v>
      </c>
      <c r="D261" s="23">
        <f t="shared" si="12"/>
        <v>7.3721998238780397</v>
      </c>
      <c r="E261" s="31">
        <f t="shared" si="15"/>
        <v>5837.5970484840436</v>
      </c>
    </row>
    <row r="262" spans="1:5" s="22" customFormat="1" x14ac:dyDescent="0.2">
      <c r="A262" s="22">
        <v>245</v>
      </c>
      <c r="B262" s="23">
        <f t="shared" si="13"/>
        <v>107.97311028779086</v>
      </c>
      <c r="C262" s="23">
        <f t="shared" si="14"/>
        <v>100.72580525851738</v>
      </c>
      <c r="D262" s="23">
        <f t="shared" si="12"/>
        <v>7.2473050292734795</v>
      </c>
      <c r="E262" s="31">
        <f t="shared" si="15"/>
        <v>5736.8712432255261</v>
      </c>
    </row>
    <row r="263" spans="1:5" s="22" customFormat="1" x14ac:dyDescent="0.2">
      <c r="A263" s="22">
        <v>246</v>
      </c>
      <c r="B263" s="23">
        <f t="shared" si="13"/>
        <v>107.97311028779086</v>
      </c>
      <c r="C263" s="23">
        <f t="shared" si="14"/>
        <v>100.85085510847529</v>
      </c>
      <c r="D263" s="23">
        <f t="shared" si="12"/>
        <v>7.1222551793155677</v>
      </c>
      <c r="E263" s="31">
        <f t="shared" si="15"/>
        <v>5636.020388117051</v>
      </c>
    </row>
    <row r="264" spans="1:5" s="22" customFormat="1" x14ac:dyDescent="0.2">
      <c r="A264" s="22">
        <v>247</v>
      </c>
      <c r="B264" s="23">
        <f t="shared" si="13"/>
        <v>107.97311028779086</v>
      </c>
      <c r="C264" s="23">
        <f t="shared" si="14"/>
        <v>100.97606020628587</v>
      </c>
      <c r="D264" s="23">
        <f t="shared" si="12"/>
        <v>6.997050081504991</v>
      </c>
      <c r="E264" s="31">
        <f t="shared" si="15"/>
        <v>5535.0443279107649</v>
      </c>
    </row>
    <row r="265" spans="1:5" s="22" customFormat="1" x14ac:dyDescent="0.2">
      <c r="A265" s="22">
        <v>248</v>
      </c>
      <c r="B265" s="23">
        <f t="shared" si="13"/>
        <v>107.97311028779086</v>
      </c>
      <c r="C265" s="23">
        <f t="shared" si="14"/>
        <v>101.10142074468742</v>
      </c>
      <c r="D265" s="23">
        <f t="shared" si="12"/>
        <v>6.8716895431034439</v>
      </c>
      <c r="E265" s="31">
        <f t="shared" si="15"/>
        <v>5433.942907166077</v>
      </c>
    </row>
    <row r="266" spans="1:5" s="22" customFormat="1" x14ac:dyDescent="0.2">
      <c r="A266" s="22">
        <v>249</v>
      </c>
      <c r="B266" s="23">
        <f t="shared" si="13"/>
        <v>107.97311028779086</v>
      </c>
      <c r="C266" s="23">
        <f t="shared" si="14"/>
        <v>101.22693691665752</v>
      </c>
      <c r="D266" s="23">
        <f t="shared" si="12"/>
        <v>6.7461733711333443</v>
      </c>
      <c r="E266" s="31">
        <f t="shared" si="15"/>
        <v>5332.7159702494191</v>
      </c>
    </row>
    <row r="267" spans="1:5" s="22" customFormat="1" x14ac:dyDescent="0.2">
      <c r="A267" s="22">
        <v>250</v>
      </c>
      <c r="B267" s="23">
        <f t="shared" si="13"/>
        <v>107.97311028779086</v>
      </c>
      <c r="C267" s="23">
        <f t="shared" si="14"/>
        <v>101.35260891541333</v>
      </c>
      <c r="D267" s="23">
        <f t="shared" si="12"/>
        <v>6.6205013723775279</v>
      </c>
      <c r="E267" s="31">
        <f t="shared" si="15"/>
        <v>5231.3633613340062</v>
      </c>
    </row>
    <row r="268" spans="1:5" s="22" customFormat="1" x14ac:dyDescent="0.2">
      <c r="A268" s="22">
        <v>251</v>
      </c>
      <c r="B268" s="23">
        <f t="shared" si="13"/>
        <v>107.97311028779086</v>
      </c>
      <c r="C268" s="23">
        <f t="shared" si="14"/>
        <v>101.4784369344119</v>
      </c>
      <c r="D268" s="23">
        <f t="shared" si="12"/>
        <v>6.4946733533789551</v>
      </c>
      <c r="E268" s="31">
        <f t="shared" si="15"/>
        <v>5129.8849243995946</v>
      </c>
    </row>
    <row r="269" spans="1:5" s="22" customFormat="1" x14ac:dyDescent="0.2">
      <c r="A269" s="22">
        <v>252</v>
      </c>
      <c r="B269" s="23">
        <f t="shared" si="13"/>
        <v>107.97311028779086</v>
      </c>
      <c r="C269" s="23">
        <f t="shared" si="14"/>
        <v>101.60442116735045</v>
      </c>
      <c r="D269" s="23">
        <f t="shared" si="12"/>
        <v>6.3686891204404112</v>
      </c>
      <c r="E269" s="31">
        <f t="shared" si="15"/>
        <v>5028.280503232244</v>
      </c>
    </row>
    <row r="270" spans="1:5" s="22" customFormat="1" x14ac:dyDescent="0.2">
      <c r="A270" s="22">
        <v>253</v>
      </c>
      <c r="B270" s="23">
        <f t="shared" si="13"/>
        <v>107.97311028779086</v>
      </c>
      <c r="C270" s="23">
        <f t="shared" si="14"/>
        <v>101.73056180816666</v>
      </c>
      <c r="D270" s="23">
        <f t="shared" si="12"/>
        <v>6.2425484796242063</v>
      </c>
      <c r="E270" s="31">
        <f t="shared" si="15"/>
        <v>4926.5499414240776</v>
      </c>
    </row>
    <row r="271" spans="1:5" s="22" customFormat="1" x14ac:dyDescent="0.2">
      <c r="A271" s="22">
        <v>254</v>
      </c>
      <c r="B271" s="23">
        <f t="shared" si="13"/>
        <v>107.97311028779086</v>
      </c>
      <c r="C271" s="23">
        <f t="shared" si="14"/>
        <v>101.85685905103898</v>
      </c>
      <c r="D271" s="23">
        <f t="shared" si="12"/>
        <v>6.1162512367518849</v>
      </c>
      <c r="E271" s="31">
        <f t="shared" si="15"/>
        <v>4824.693082373039</v>
      </c>
    </row>
    <row r="272" spans="1:5" s="22" customFormat="1" x14ac:dyDescent="0.2">
      <c r="A272" s="22">
        <v>255</v>
      </c>
      <c r="B272" s="23">
        <f t="shared" si="13"/>
        <v>107.97311028779086</v>
      </c>
      <c r="C272" s="23">
        <f t="shared" si="14"/>
        <v>101.98331309038694</v>
      </c>
      <c r="D272" s="23">
        <f t="shared" si="12"/>
        <v>5.9897971974039148</v>
      </c>
      <c r="E272" s="31">
        <f t="shared" si="15"/>
        <v>4722.7097692826519</v>
      </c>
    </row>
    <row r="273" spans="1:5" s="22" customFormat="1" x14ac:dyDescent="0.2">
      <c r="A273" s="22">
        <v>256</v>
      </c>
      <c r="B273" s="23">
        <f t="shared" si="13"/>
        <v>107.97311028779086</v>
      </c>
      <c r="C273" s="23">
        <f t="shared" si="14"/>
        <v>102.10992412087145</v>
      </c>
      <c r="D273" s="23">
        <f t="shared" si="12"/>
        <v>5.863186166919399</v>
      </c>
      <c r="E273" s="31">
        <f t="shared" si="15"/>
        <v>4620.5998451617806</v>
      </c>
    </row>
    <row r="274" spans="1:5" s="22" customFormat="1" x14ac:dyDescent="0.2">
      <c r="A274" s="22">
        <v>257</v>
      </c>
      <c r="B274" s="23">
        <f t="shared" si="13"/>
        <v>107.97311028779086</v>
      </c>
      <c r="C274" s="23">
        <f t="shared" si="14"/>
        <v>102.23669233739508</v>
      </c>
      <c r="D274" s="23">
        <f t="shared" ref="D274:D317" si="16">E273*B$7</f>
        <v>5.7364179503957695</v>
      </c>
      <c r="E274" s="31">
        <f t="shared" si="15"/>
        <v>4518.3631528243859</v>
      </c>
    </row>
    <row r="275" spans="1:5" s="22" customFormat="1" x14ac:dyDescent="0.2">
      <c r="A275" s="22">
        <v>258</v>
      </c>
      <c r="B275" s="23">
        <f t="shared" ref="B275:B317" si="17">B$9</f>
        <v>107.97311028779086</v>
      </c>
      <c r="C275" s="23">
        <f t="shared" ref="C275:C317" si="18">B275-D275</f>
        <v>102.36361793510237</v>
      </c>
      <c r="D275" s="23">
        <f t="shared" si="16"/>
        <v>5.6094923526884903</v>
      </c>
      <c r="E275" s="31">
        <f t="shared" ref="E275:E317" si="19">E274-C275</f>
        <v>4415.9995348892835</v>
      </c>
    </row>
    <row r="276" spans="1:5" s="22" customFormat="1" x14ac:dyDescent="0.2">
      <c r="A276" s="22">
        <v>259</v>
      </c>
      <c r="B276" s="23">
        <f t="shared" si="17"/>
        <v>107.97311028779086</v>
      </c>
      <c r="C276" s="23">
        <f t="shared" si="18"/>
        <v>102.49070110938011</v>
      </c>
      <c r="D276" s="23">
        <f t="shared" si="16"/>
        <v>5.4824091784107543</v>
      </c>
      <c r="E276" s="31">
        <f t="shared" si="19"/>
        <v>4313.5088337799034</v>
      </c>
    </row>
    <row r="277" spans="1:5" s="22" customFormat="1" x14ac:dyDescent="0.2">
      <c r="A277" s="22">
        <v>260</v>
      </c>
      <c r="B277" s="23">
        <f t="shared" si="17"/>
        <v>107.97311028779086</v>
      </c>
      <c r="C277" s="23">
        <f t="shared" si="18"/>
        <v>102.61794205585767</v>
      </c>
      <c r="D277" s="23">
        <f t="shared" si="16"/>
        <v>5.3551682319331846</v>
      </c>
      <c r="E277" s="31">
        <f t="shared" si="19"/>
        <v>4210.890891724046</v>
      </c>
    </row>
    <row r="278" spans="1:5" s="22" customFormat="1" x14ac:dyDescent="0.2">
      <c r="A278" s="22">
        <v>261</v>
      </c>
      <c r="B278" s="23">
        <f t="shared" si="17"/>
        <v>107.97311028779086</v>
      </c>
      <c r="C278" s="23">
        <f t="shared" si="18"/>
        <v>102.74534097040733</v>
      </c>
      <c r="D278" s="23">
        <f t="shared" si="16"/>
        <v>5.2277693173835349</v>
      </c>
      <c r="E278" s="31">
        <f t="shared" si="19"/>
        <v>4108.1455507536384</v>
      </c>
    </row>
    <row r="279" spans="1:5" s="22" customFormat="1" x14ac:dyDescent="0.2">
      <c r="A279" s="22">
        <v>262</v>
      </c>
      <c r="B279" s="23">
        <f t="shared" si="17"/>
        <v>107.97311028779086</v>
      </c>
      <c r="C279" s="23">
        <f t="shared" si="18"/>
        <v>102.87289804914448</v>
      </c>
      <c r="D279" s="23">
        <f t="shared" si="16"/>
        <v>5.1002122386463808</v>
      </c>
      <c r="E279" s="31">
        <f t="shared" si="19"/>
        <v>4005.2726527044938</v>
      </c>
    </row>
    <row r="280" spans="1:5" s="22" customFormat="1" x14ac:dyDescent="0.2">
      <c r="A280" s="22">
        <v>263</v>
      </c>
      <c r="B280" s="23">
        <f t="shared" si="17"/>
        <v>107.97311028779086</v>
      </c>
      <c r="C280" s="23">
        <f t="shared" si="18"/>
        <v>103.00061348842803</v>
      </c>
      <c r="D280" s="23">
        <f t="shared" si="16"/>
        <v>4.9724967993628297</v>
      </c>
      <c r="E280" s="31">
        <f t="shared" si="19"/>
        <v>3902.2720392160659</v>
      </c>
    </row>
    <row r="281" spans="1:5" s="22" customFormat="1" x14ac:dyDescent="0.2">
      <c r="A281" s="22">
        <v>264</v>
      </c>
      <c r="B281" s="23">
        <f t="shared" si="17"/>
        <v>107.97311028779086</v>
      </c>
      <c r="C281" s="23">
        <f t="shared" si="18"/>
        <v>103.12848748486066</v>
      </c>
      <c r="D281" s="23">
        <f t="shared" si="16"/>
        <v>4.844622802930207</v>
      </c>
      <c r="E281" s="31">
        <f t="shared" si="19"/>
        <v>3799.1435517312052</v>
      </c>
    </row>
    <row r="282" spans="1:5" s="22" customFormat="1" x14ac:dyDescent="0.2">
      <c r="A282" s="22">
        <v>265</v>
      </c>
      <c r="B282" s="23">
        <f t="shared" si="17"/>
        <v>107.97311028779086</v>
      </c>
      <c r="C282" s="23">
        <f t="shared" si="18"/>
        <v>103.2565202352891</v>
      </c>
      <c r="D282" s="23">
        <f t="shared" si="16"/>
        <v>4.7165900525017594</v>
      </c>
      <c r="E282" s="31">
        <f t="shared" si="19"/>
        <v>3695.8870314959163</v>
      </c>
    </row>
    <row r="283" spans="1:5" s="22" customFormat="1" x14ac:dyDescent="0.2">
      <c r="A283" s="22">
        <v>266</v>
      </c>
      <c r="B283" s="23">
        <f t="shared" si="17"/>
        <v>107.97311028779086</v>
      </c>
      <c r="C283" s="23">
        <f t="shared" si="18"/>
        <v>103.38471193680451</v>
      </c>
      <c r="D283" s="23">
        <f t="shared" si="16"/>
        <v>4.5883983509863526</v>
      </c>
      <c r="E283" s="31">
        <f t="shared" si="19"/>
        <v>3592.5023195591116</v>
      </c>
    </row>
    <row r="284" spans="1:5" s="22" customFormat="1" x14ac:dyDescent="0.2">
      <c r="A284" s="22">
        <v>267</v>
      </c>
      <c r="B284" s="23">
        <f t="shared" si="17"/>
        <v>107.97311028779086</v>
      </c>
      <c r="C284" s="23">
        <f t="shared" si="18"/>
        <v>103.51306278674269</v>
      </c>
      <c r="D284" s="23">
        <f t="shared" si="16"/>
        <v>4.4600475010481624</v>
      </c>
      <c r="E284" s="31">
        <f t="shared" si="19"/>
        <v>3488.9892567723691</v>
      </c>
    </row>
    <row r="285" spans="1:5" s="22" customFormat="1" x14ac:dyDescent="0.2">
      <c r="A285" s="22">
        <v>268</v>
      </c>
      <c r="B285" s="23">
        <f t="shared" si="17"/>
        <v>107.97311028779086</v>
      </c>
      <c r="C285" s="23">
        <f t="shared" si="18"/>
        <v>103.64157298268448</v>
      </c>
      <c r="D285" s="23">
        <f t="shared" si="16"/>
        <v>4.3315373051063792</v>
      </c>
      <c r="E285" s="31">
        <f t="shared" si="19"/>
        <v>3385.3476837896847</v>
      </c>
    </row>
    <row r="286" spans="1:5" s="22" customFormat="1" x14ac:dyDescent="0.2">
      <c r="A286" s="22">
        <v>269</v>
      </c>
      <c r="B286" s="23">
        <f t="shared" si="17"/>
        <v>107.97311028779086</v>
      </c>
      <c r="C286" s="23">
        <f t="shared" si="18"/>
        <v>103.77024272245596</v>
      </c>
      <c r="D286" s="23">
        <f t="shared" si="16"/>
        <v>4.2028675653348957</v>
      </c>
      <c r="E286" s="31">
        <f t="shared" si="19"/>
        <v>3281.5774410672288</v>
      </c>
    </row>
    <row r="287" spans="1:5" s="22" customFormat="1" x14ac:dyDescent="0.2">
      <c r="A287" s="22">
        <v>270</v>
      </c>
      <c r="B287" s="23">
        <f t="shared" si="17"/>
        <v>107.97311028779086</v>
      </c>
      <c r="C287" s="23">
        <f t="shared" si="18"/>
        <v>103.89907220412886</v>
      </c>
      <c r="D287" s="23">
        <f t="shared" si="16"/>
        <v>4.0740380836620069</v>
      </c>
      <c r="E287" s="31">
        <f t="shared" si="19"/>
        <v>3177.6783688630999</v>
      </c>
    </row>
    <row r="288" spans="1:5" s="22" customFormat="1" x14ac:dyDescent="0.2">
      <c r="A288" s="22">
        <v>271</v>
      </c>
      <c r="B288" s="23">
        <f t="shared" si="17"/>
        <v>107.97311028779086</v>
      </c>
      <c r="C288" s="23">
        <f t="shared" si="18"/>
        <v>104.02806162602076</v>
      </c>
      <c r="D288" s="23">
        <f t="shared" si="16"/>
        <v>3.9450486617701048</v>
      </c>
      <c r="E288" s="31">
        <f t="shared" si="19"/>
        <v>3073.6503072370792</v>
      </c>
    </row>
    <row r="289" spans="1:5" s="22" customFormat="1" x14ac:dyDescent="0.2">
      <c r="A289" s="22">
        <v>272</v>
      </c>
      <c r="B289" s="23">
        <f t="shared" si="17"/>
        <v>107.97311028779086</v>
      </c>
      <c r="C289" s="23">
        <f t="shared" si="18"/>
        <v>104.15721118669549</v>
      </c>
      <c r="D289" s="23">
        <f t="shared" si="16"/>
        <v>3.815899101095372</v>
      </c>
      <c r="E289" s="31">
        <f t="shared" si="19"/>
        <v>2969.4930960503839</v>
      </c>
    </row>
    <row r="290" spans="1:5" s="22" customFormat="1" x14ac:dyDescent="0.2">
      <c r="A290" s="22">
        <v>273</v>
      </c>
      <c r="B290" s="23">
        <f t="shared" si="17"/>
        <v>107.97311028779086</v>
      </c>
      <c r="C290" s="23">
        <f t="shared" si="18"/>
        <v>104.28652108496338</v>
      </c>
      <c r="D290" s="23">
        <f t="shared" si="16"/>
        <v>3.6865892028274767</v>
      </c>
      <c r="E290" s="31">
        <f t="shared" si="19"/>
        <v>2865.2065749654207</v>
      </c>
    </row>
    <row r="291" spans="1:5" s="22" customFormat="1" x14ac:dyDescent="0.2">
      <c r="A291" s="22">
        <v>274</v>
      </c>
      <c r="B291" s="23">
        <f t="shared" si="17"/>
        <v>107.97311028779086</v>
      </c>
      <c r="C291" s="23">
        <f t="shared" si="18"/>
        <v>104.41599151988159</v>
      </c>
      <c r="D291" s="23">
        <f t="shared" si="16"/>
        <v>3.5571187679092668</v>
      </c>
      <c r="E291" s="31">
        <f t="shared" si="19"/>
        <v>2760.7905834455391</v>
      </c>
    </row>
    <row r="292" spans="1:5" s="22" customFormat="1" x14ac:dyDescent="0.2">
      <c r="A292" s="22">
        <v>275</v>
      </c>
      <c r="B292" s="23">
        <f t="shared" si="17"/>
        <v>107.97311028779086</v>
      </c>
      <c r="C292" s="23">
        <f t="shared" si="18"/>
        <v>104.5456226907544</v>
      </c>
      <c r="D292" s="23">
        <f t="shared" si="16"/>
        <v>3.4274875970364622</v>
      </c>
      <c r="E292" s="31">
        <f t="shared" si="19"/>
        <v>2656.2449607547846</v>
      </c>
    </row>
    <row r="293" spans="1:5" s="22" customFormat="1" x14ac:dyDescent="0.2">
      <c r="A293" s="22">
        <v>276</v>
      </c>
      <c r="B293" s="23">
        <f t="shared" si="17"/>
        <v>107.97311028779086</v>
      </c>
      <c r="C293" s="23">
        <f t="shared" si="18"/>
        <v>104.67541479713351</v>
      </c>
      <c r="D293" s="23">
        <f t="shared" si="16"/>
        <v>3.2976954906573499</v>
      </c>
      <c r="E293" s="31">
        <f t="shared" si="19"/>
        <v>2551.5695459576509</v>
      </c>
    </row>
    <row r="294" spans="1:5" s="22" customFormat="1" x14ac:dyDescent="0.2">
      <c r="A294" s="22">
        <v>277</v>
      </c>
      <c r="B294" s="23">
        <f t="shared" si="17"/>
        <v>107.97311028779086</v>
      </c>
      <c r="C294" s="23">
        <f t="shared" si="18"/>
        <v>104.80536803881839</v>
      </c>
      <c r="D294" s="23">
        <f t="shared" si="16"/>
        <v>3.167742248972476</v>
      </c>
      <c r="E294" s="31">
        <f t="shared" si="19"/>
        <v>2446.7641779188325</v>
      </c>
    </row>
    <row r="295" spans="1:5" s="22" customFormat="1" x14ac:dyDescent="0.2">
      <c r="A295" s="22">
        <v>278</v>
      </c>
      <c r="B295" s="23">
        <f t="shared" si="17"/>
        <v>107.97311028779086</v>
      </c>
      <c r="C295" s="23">
        <f t="shared" si="18"/>
        <v>104.93548261585653</v>
      </c>
      <c r="D295" s="23">
        <f t="shared" si="16"/>
        <v>3.0376276719343376</v>
      </c>
      <c r="E295" s="31">
        <f t="shared" si="19"/>
        <v>2341.828695302976</v>
      </c>
    </row>
    <row r="296" spans="1:5" s="22" customFormat="1" x14ac:dyDescent="0.2">
      <c r="A296" s="22">
        <v>279</v>
      </c>
      <c r="B296" s="23">
        <f t="shared" si="17"/>
        <v>107.97311028779086</v>
      </c>
      <c r="C296" s="23">
        <f t="shared" si="18"/>
        <v>105.06575872854378</v>
      </c>
      <c r="D296" s="23">
        <f t="shared" si="16"/>
        <v>2.9073515592470751</v>
      </c>
      <c r="E296" s="31">
        <f t="shared" si="19"/>
        <v>2236.7629365744324</v>
      </c>
    </row>
    <row r="297" spans="1:5" s="22" customFormat="1" x14ac:dyDescent="0.2">
      <c r="A297" s="22">
        <v>280</v>
      </c>
      <c r="B297" s="23">
        <f t="shared" si="17"/>
        <v>107.97311028779086</v>
      </c>
      <c r="C297" s="23">
        <f t="shared" si="18"/>
        <v>105.1961965774247</v>
      </c>
      <c r="D297" s="23">
        <f t="shared" si="16"/>
        <v>2.776913710366165</v>
      </c>
      <c r="E297" s="31">
        <f t="shared" si="19"/>
        <v>2131.5667399970075</v>
      </c>
    </row>
    <row r="298" spans="1:5" s="22" customFormat="1" x14ac:dyDescent="0.2">
      <c r="A298" s="22">
        <v>281</v>
      </c>
      <c r="B298" s="23">
        <f t="shared" si="17"/>
        <v>107.97311028779086</v>
      </c>
      <c r="C298" s="23">
        <f t="shared" si="18"/>
        <v>105.32679636329276</v>
      </c>
      <c r="D298" s="23">
        <f t="shared" si="16"/>
        <v>2.6463139244981089</v>
      </c>
      <c r="E298" s="31">
        <f t="shared" si="19"/>
        <v>2026.2399436337148</v>
      </c>
    </row>
    <row r="299" spans="1:5" s="22" customFormat="1" x14ac:dyDescent="0.2">
      <c r="A299" s="22">
        <v>282</v>
      </c>
      <c r="B299" s="23">
        <f t="shared" si="17"/>
        <v>107.97311028779086</v>
      </c>
      <c r="C299" s="23">
        <f t="shared" si="18"/>
        <v>105.45755828719074</v>
      </c>
      <c r="D299" s="23">
        <f t="shared" si="16"/>
        <v>2.5155520006001271</v>
      </c>
      <c r="E299" s="31">
        <f t="shared" si="19"/>
        <v>1920.7823853465241</v>
      </c>
    </row>
    <row r="300" spans="1:5" s="22" customFormat="1" x14ac:dyDescent="0.2">
      <c r="A300" s="22">
        <v>283</v>
      </c>
      <c r="B300" s="23">
        <f t="shared" si="17"/>
        <v>107.97311028779086</v>
      </c>
      <c r="C300" s="23">
        <f t="shared" si="18"/>
        <v>105.58848255041102</v>
      </c>
      <c r="D300" s="23">
        <f t="shared" si="16"/>
        <v>2.3846277373798461</v>
      </c>
      <c r="E300" s="31">
        <f t="shared" si="19"/>
        <v>1815.193902796113</v>
      </c>
    </row>
    <row r="301" spans="1:5" s="22" customFormat="1" x14ac:dyDescent="0.2">
      <c r="A301" s="22">
        <v>284</v>
      </c>
      <c r="B301" s="23">
        <f t="shared" si="17"/>
        <v>107.97311028779086</v>
      </c>
      <c r="C301" s="23">
        <f t="shared" si="18"/>
        <v>105.71956935449586</v>
      </c>
      <c r="D301" s="23">
        <f t="shared" si="16"/>
        <v>2.2535409332949925</v>
      </c>
      <c r="E301" s="31">
        <f t="shared" si="19"/>
        <v>1709.4743334416171</v>
      </c>
    </row>
    <row r="302" spans="1:5" s="22" customFormat="1" x14ac:dyDescent="0.2">
      <c r="A302" s="22">
        <v>285</v>
      </c>
      <c r="B302" s="23">
        <f t="shared" si="17"/>
        <v>107.97311028779086</v>
      </c>
      <c r="C302" s="23">
        <f t="shared" si="18"/>
        <v>105.85081890123779</v>
      </c>
      <c r="D302" s="23">
        <f t="shared" si="16"/>
        <v>2.1222913865530786</v>
      </c>
      <c r="E302" s="31">
        <f t="shared" si="19"/>
        <v>1603.6235145403793</v>
      </c>
    </row>
    <row r="303" spans="1:5" s="22" customFormat="1" x14ac:dyDescent="0.2">
      <c r="A303" s="22">
        <v>286</v>
      </c>
      <c r="B303" s="23">
        <f t="shared" si="17"/>
        <v>107.97311028779086</v>
      </c>
      <c r="C303" s="23">
        <f t="shared" si="18"/>
        <v>105.98223139267976</v>
      </c>
      <c r="D303" s="23">
        <f t="shared" si="16"/>
        <v>1.9908788951110952</v>
      </c>
      <c r="E303" s="31">
        <f t="shared" si="19"/>
        <v>1497.6412831476996</v>
      </c>
    </row>
    <row r="304" spans="1:5" s="22" customFormat="1" x14ac:dyDescent="0.2">
      <c r="A304" s="22">
        <v>287</v>
      </c>
      <c r="B304" s="23">
        <f t="shared" si="17"/>
        <v>107.97311028779086</v>
      </c>
      <c r="C304" s="23">
        <f t="shared" si="18"/>
        <v>106.11380703111566</v>
      </c>
      <c r="D304" s="23">
        <f t="shared" si="16"/>
        <v>1.8593032566751986</v>
      </c>
      <c r="E304" s="31">
        <f t="shared" si="19"/>
        <v>1391.527476116584</v>
      </c>
    </row>
    <row r="305" spans="1:5" s="22" customFormat="1" x14ac:dyDescent="0.2">
      <c r="A305" s="22">
        <v>288</v>
      </c>
      <c r="B305" s="23">
        <f t="shared" si="17"/>
        <v>107.97311028779086</v>
      </c>
      <c r="C305" s="23">
        <f t="shared" si="18"/>
        <v>106.24554601909045</v>
      </c>
      <c r="D305" s="23">
        <f t="shared" si="16"/>
        <v>1.7275642687004</v>
      </c>
      <c r="E305" s="31">
        <f t="shared" si="19"/>
        <v>1285.2819300974936</v>
      </c>
    </row>
    <row r="306" spans="1:5" s="22" customFormat="1" x14ac:dyDescent="0.2">
      <c r="A306" s="22">
        <v>289</v>
      </c>
      <c r="B306" s="23">
        <f t="shared" si="17"/>
        <v>107.97311028779086</v>
      </c>
      <c r="C306" s="23">
        <f t="shared" si="18"/>
        <v>106.37744855940061</v>
      </c>
      <c r="D306" s="23">
        <f t="shared" si="16"/>
        <v>1.5956617283902532</v>
      </c>
      <c r="E306" s="31">
        <f t="shared" si="19"/>
        <v>1178.904481538093</v>
      </c>
    </row>
    <row r="307" spans="1:5" s="22" customFormat="1" x14ac:dyDescent="0.2">
      <c r="A307" s="22">
        <v>290</v>
      </c>
      <c r="B307" s="23">
        <f t="shared" si="17"/>
        <v>107.97311028779086</v>
      </c>
      <c r="C307" s="23">
        <f t="shared" si="18"/>
        <v>106.50951485509432</v>
      </c>
      <c r="D307" s="23">
        <f t="shared" si="16"/>
        <v>1.4635954326965428</v>
      </c>
      <c r="E307" s="31">
        <f t="shared" si="19"/>
        <v>1072.3949666829988</v>
      </c>
    </row>
    <row r="308" spans="1:5" s="22" customFormat="1" x14ac:dyDescent="0.2">
      <c r="A308" s="22">
        <v>291</v>
      </c>
      <c r="B308" s="23">
        <f t="shared" si="17"/>
        <v>107.97311028779086</v>
      </c>
      <c r="C308" s="23">
        <f t="shared" si="18"/>
        <v>106.64174510947188</v>
      </c>
      <c r="D308" s="23">
        <f t="shared" si="16"/>
        <v>1.3313651783189717</v>
      </c>
      <c r="E308" s="31">
        <f t="shared" si="19"/>
        <v>965.75322157352684</v>
      </c>
    </row>
    <row r="309" spans="1:5" s="22" customFormat="1" x14ac:dyDescent="0.2">
      <c r="A309" s="22">
        <v>292</v>
      </c>
      <c r="B309" s="23">
        <f t="shared" si="17"/>
        <v>107.97311028779086</v>
      </c>
      <c r="C309" s="23">
        <f t="shared" si="18"/>
        <v>106.77413952608602</v>
      </c>
      <c r="D309" s="23">
        <f t="shared" si="16"/>
        <v>1.198970761704848</v>
      </c>
      <c r="E309" s="31">
        <f t="shared" si="19"/>
        <v>858.97908204744078</v>
      </c>
    </row>
    <row r="310" spans="1:5" s="22" customFormat="1" x14ac:dyDescent="0.2">
      <c r="A310" s="22">
        <v>293</v>
      </c>
      <c r="B310" s="23">
        <f t="shared" si="17"/>
        <v>107.97311028779086</v>
      </c>
      <c r="C310" s="23">
        <f t="shared" si="18"/>
        <v>106.90669830874209</v>
      </c>
      <c r="D310" s="23">
        <f t="shared" si="16"/>
        <v>1.0664119790487712</v>
      </c>
      <c r="E310" s="31">
        <f t="shared" si="19"/>
        <v>752.0723837386987</v>
      </c>
    </row>
    <row r="311" spans="1:5" s="22" customFormat="1" x14ac:dyDescent="0.2">
      <c r="A311" s="22">
        <v>294</v>
      </c>
      <c r="B311" s="23">
        <f t="shared" si="17"/>
        <v>107.97311028779086</v>
      </c>
      <c r="C311" s="23">
        <f t="shared" si="18"/>
        <v>107.03942166149854</v>
      </c>
      <c r="D311" s="23">
        <f t="shared" si="16"/>
        <v>0.93368862629231941</v>
      </c>
      <c r="E311" s="31">
        <f t="shared" si="19"/>
        <v>645.03296207720018</v>
      </c>
    </row>
    <row r="312" spans="1:5" s="22" customFormat="1" x14ac:dyDescent="0.2">
      <c r="A312" s="22">
        <v>295</v>
      </c>
      <c r="B312" s="23">
        <f t="shared" si="17"/>
        <v>107.97311028779086</v>
      </c>
      <c r="C312" s="23">
        <f t="shared" si="18"/>
        <v>107.17230978866712</v>
      </c>
      <c r="D312" s="23">
        <f t="shared" si="16"/>
        <v>0.80080049912373463</v>
      </c>
      <c r="E312" s="31">
        <f t="shared" si="19"/>
        <v>537.86065228853306</v>
      </c>
    </row>
    <row r="313" spans="1:5" s="22" customFormat="1" x14ac:dyDescent="0.2">
      <c r="A313" s="22">
        <v>296</v>
      </c>
      <c r="B313" s="23">
        <f t="shared" si="17"/>
        <v>107.97311028779086</v>
      </c>
      <c r="C313" s="23">
        <f t="shared" si="18"/>
        <v>107.30536289481326</v>
      </c>
      <c r="D313" s="23">
        <f t="shared" si="16"/>
        <v>0.6677473929776081</v>
      </c>
      <c r="E313" s="31">
        <f t="shared" si="19"/>
        <v>430.55528939371982</v>
      </c>
    </row>
    <row r="314" spans="1:5" s="22" customFormat="1" x14ac:dyDescent="0.2">
      <c r="A314" s="22">
        <v>297</v>
      </c>
      <c r="B314" s="23">
        <f t="shared" si="17"/>
        <v>107.97311028779086</v>
      </c>
      <c r="C314" s="23">
        <f t="shared" si="18"/>
        <v>107.43858118475629</v>
      </c>
      <c r="D314" s="23">
        <f t="shared" si="16"/>
        <v>0.53452910303456569</v>
      </c>
      <c r="E314" s="31">
        <f t="shared" si="19"/>
        <v>323.11670820896353</v>
      </c>
    </row>
    <row r="315" spans="1:5" s="22" customFormat="1" x14ac:dyDescent="0.2">
      <c r="A315" s="22">
        <v>298</v>
      </c>
      <c r="B315" s="23">
        <f t="shared" si="17"/>
        <v>107.97311028779086</v>
      </c>
      <c r="C315" s="23">
        <f t="shared" si="18"/>
        <v>107.5719648635699</v>
      </c>
      <c r="D315" s="23">
        <f t="shared" si="16"/>
        <v>0.40114542422095262</v>
      </c>
      <c r="E315" s="31">
        <f t="shared" si="19"/>
        <v>215.54474334539361</v>
      </c>
    </row>
    <row r="316" spans="1:5" s="22" customFormat="1" x14ac:dyDescent="0.2">
      <c r="A316" s="22">
        <v>299</v>
      </c>
      <c r="B316" s="23">
        <f t="shared" si="17"/>
        <v>107.97311028779086</v>
      </c>
      <c r="C316" s="23">
        <f t="shared" si="18"/>
        <v>107.70551413658234</v>
      </c>
      <c r="D316" s="23">
        <f t="shared" si="16"/>
        <v>0.26759615120851765</v>
      </c>
      <c r="E316" s="31">
        <f t="shared" si="19"/>
        <v>107.83922920881128</v>
      </c>
    </row>
    <row r="317" spans="1:5" s="22" customFormat="1" x14ac:dyDescent="0.2">
      <c r="A317" s="22">
        <v>300</v>
      </c>
      <c r="B317" s="23">
        <f t="shared" si="17"/>
        <v>107.97311028779086</v>
      </c>
      <c r="C317" s="23">
        <f t="shared" si="18"/>
        <v>107.83922920937677</v>
      </c>
      <c r="D317" s="23">
        <f t="shared" si="16"/>
        <v>0.13388107841409699</v>
      </c>
      <c r="E317" s="31">
        <f t="shared" si="19"/>
        <v>-5.6549254168203333E-10</v>
      </c>
    </row>
  </sheetData>
  <conditionalFormatting sqref="A17:A317">
    <cfRule type="expression" dxfId="14" priority="1">
      <formula>E17&lt;-0.01</formula>
    </cfRule>
  </conditionalFormatting>
  <conditionalFormatting sqref="B17:B317">
    <cfRule type="expression" dxfId="13" priority="2">
      <formula>E17&lt;-0.01</formula>
    </cfRule>
  </conditionalFormatting>
  <conditionalFormatting sqref="C17:C317">
    <cfRule type="expression" dxfId="12" priority="3">
      <formula>E17&lt;-0.01</formula>
    </cfRule>
  </conditionalFormatting>
  <conditionalFormatting sqref="D17:D317">
    <cfRule type="expression" dxfId="11" priority="4">
      <formula>E17&lt;-0.01</formula>
    </cfRule>
  </conditionalFormatting>
  <conditionalFormatting sqref="E17:E317">
    <cfRule type="expression" dxfId="10" priority="5">
      <formula>E17&lt;-0.01</formula>
    </cfRule>
  </conditionalFormatting>
  <pageMargins left="0.7" right="0.7" top="0.75" bottom="0.75" header="0.3" footer="0.3"/>
  <pageSetup paperSize="9" scale="4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I318"/>
  <sheetViews>
    <sheetView workbookViewId="0">
      <selection activeCell="H25" sqref="H25"/>
    </sheetView>
  </sheetViews>
  <sheetFormatPr defaultRowHeight="12.75" x14ac:dyDescent="0.2"/>
  <cols>
    <col min="1" max="5" width="29.7109375" style="15" customWidth="1"/>
    <col min="6" max="6" width="4.85546875" style="15" customWidth="1"/>
    <col min="7" max="7" width="28.5703125" style="15" customWidth="1"/>
    <col min="8" max="8" width="23.28515625" style="15" customWidth="1"/>
    <col min="9" max="255" width="9.140625" style="15"/>
    <col min="256" max="260" width="18.140625" style="15" customWidth="1"/>
    <col min="261" max="263" width="9.140625" style="15"/>
    <col min="264" max="264" width="13.85546875" style="15" customWidth="1"/>
    <col min="265" max="511" width="9.140625" style="15"/>
    <col min="512" max="516" width="18.140625" style="15" customWidth="1"/>
    <col min="517" max="519" width="9.140625" style="15"/>
    <col min="520" max="520" width="13.85546875" style="15" customWidth="1"/>
    <col min="521" max="767" width="9.140625" style="15"/>
    <col min="768" max="772" width="18.140625" style="15" customWidth="1"/>
    <col min="773" max="775" width="9.140625" style="15"/>
    <col min="776" max="776" width="13.85546875" style="15" customWidth="1"/>
    <col min="777" max="1023" width="9.140625" style="15"/>
    <col min="1024" max="1028" width="18.140625" style="15" customWidth="1"/>
    <col min="1029" max="1031" width="9.140625" style="15"/>
    <col min="1032" max="1032" width="13.85546875" style="15" customWidth="1"/>
    <col min="1033" max="1279" width="9.140625" style="15"/>
    <col min="1280" max="1284" width="18.140625" style="15" customWidth="1"/>
    <col min="1285" max="1287" width="9.140625" style="15"/>
    <col min="1288" max="1288" width="13.85546875" style="15" customWidth="1"/>
    <col min="1289" max="1535" width="9.140625" style="15"/>
    <col min="1536" max="1540" width="18.140625" style="15" customWidth="1"/>
    <col min="1541" max="1543" width="9.140625" style="15"/>
    <col min="1544" max="1544" width="13.85546875" style="15" customWidth="1"/>
    <col min="1545" max="1791" width="9.140625" style="15"/>
    <col min="1792" max="1796" width="18.140625" style="15" customWidth="1"/>
    <col min="1797" max="1799" width="9.140625" style="15"/>
    <col min="1800" max="1800" width="13.85546875" style="15" customWidth="1"/>
    <col min="1801" max="2047" width="9.140625" style="15"/>
    <col min="2048" max="2052" width="18.140625" style="15" customWidth="1"/>
    <col min="2053" max="2055" width="9.140625" style="15"/>
    <col min="2056" max="2056" width="13.85546875" style="15" customWidth="1"/>
    <col min="2057" max="2303" width="9.140625" style="15"/>
    <col min="2304" max="2308" width="18.140625" style="15" customWidth="1"/>
    <col min="2309" max="2311" width="9.140625" style="15"/>
    <col min="2312" max="2312" width="13.85546875" style="15" customWidth="1"/>
    <col min="2313" max="2559" width="9.140625" style="15"/>
    <col min="2560" max="2564" width="18.140625" style="15" customWidth="1"/>
    <col min="2565" max="2567" width="9.140625" style="15"/>
    <col min="2568" max="2568" width="13.85546875" style="15" customWidth="1"/>
    <col min="2569" max="2815" width="9.140625" style="15"/>
    <col min="2816" max="2820" width="18.140625" style="15" customWidth="1"/>
    <col min="2821" max="2823" width="9.140625" style="15"/>
    <col min="2824" max="2824" width="13.85546875" style="15" customWidth="1"/>
    <col min="2825" max="3071" width="9.140625" style="15"/>
    <col min="3072" max="3076" width="18.140625" style="15" customWidth="1"/>
    <col min="3077" max="3079" width="9.140625" style="15"/>
    <col min="3080" max="3080" width="13.85546875" style="15" customWidth="1"/>
    <col min="3081" max="3327" width="9.140625" style="15"/>
    <col min="3328" max="3332" width="18.140625" style="15" customWidth="1"/>
    <col min="3333" max="3335" width="9.140625" style="15"/>
    <col min="3336" max="3336" width="13.85546875" style="15" customWidth="1"/>
    <col min="3337" max="3583" width="9.140625" style="15"/>
    <col min="3584" max="3588" width="18.140625" style="15" customWidth="1"/>
    <col min="3589" max="3591" width="9.140625" style="15"/>
    <col min="3592" max="3592" width="13.85546875" style="15" customWidth="1"/>
    <col min="3593" max="3839" width="9.140625" style="15"/>
    <col min="3840" max="3844" width="18.140625" style="15" customWidth="1"/>
    <col min="3845" max="3847" width="9.140625" style="15"/>
    <col min="3848" max="3848" width="13.85546875" style="15" customWidth="1"/>
    <col min="3849" max="4095" width="9.140625" style="15"/>
    <col min="4096" max="4100" width="18.140625" style="15" customWidth="1"/>
    <col min="4101" max="4103" width="9.140625" style="15"/>
    <col min="4104" max="4104" width="13.85546875" style="15" customWidth="1"/>
    <col min="4105" max="4351" width="9.140625" style="15"/>
    <col min="4352" max="4356" width="18.140625" style="15" customWidth="1"/>
    <col min="4357" max="4359" width="9.140625" style="15"/>
    <col min="4360" max="4360" width="13.85546875" style="15" customWidth="1"/>
    <col min="4361" max="4607" width="9.140625" style="15"/>
    <col min="4608" max="4612" width="18.140625" style="15" customWidth="1"/>
    <col min="4613" max="4615" width="9.140625" style="15"/>
    <col min="4616" max="4616" width="13.85546875" style="15" customWidth="1"/>
    <col min="4617" max="4863" width="9.140625" style="15"/>
    <col min="4864" max="4868" width="18.140625" style="15" customWidth="1"/>
    <col min="4869" max="4871" width="9.140625" style="15"/>
    <col min="4872" max="4872" width="13.85546875" style="15" customWidth="1"/>
    <col min="4873" max="5119" width="9.140625" style="15"/>
    <col min="5120" max="5124" width="18.140625" style="15" customWidth="1"/>
    <col min="5125" max="5127" width="9.140625" style="15"/>
    <col min="5128" max="5128" width="13.85546875" style="15" customWidth="1"/>
    <col min="5129" max="5375" width="9.140625" style="15"/>
    <col min="5376" max="5380" width="18.140625" style="15" customWidth="1"/>
    <col min="5381" max="5383" width="9.140625" style="15"/>
    <col min="5384" max="5384" width="13.85546875" style="15" customWidth="1"/>
    <col min="5385" max="5631" width="9.140625" style="15"/>
    <col min="5632" max="5636" width="18.140625" style="15" customWidth="1"/>
    <col min="5637" max="5639" width="9.140625" style="15"/>
    <col min="5640" max="5640" width="13.85546875" style="15" customWidth="1"/>
    <col min="5641" max="5887" width="9.140625" style="15"/>
    <col min="5888" max="5892" width="18.140625" style="15" customWidth="1"/>
    <col min="5893" max="5895" width="9.140625" style="15"/>
    <col min="5896" max="5896" width="13.85546875" style="15" customWidth="1"/>
    <col min="5897" max="6143" width="9.140625" style="15"/>
    <col min="6144" max="6148" width="18.140625" style="15" customWidth="1"/>
    <col min="6149" max="6151" width="9.140625" style="15"/>
    <col min="6152" max="6152" width="13.85546875" style="15" customWidth="1"/>
    <col min="6153" max="6399" width="9.140625" style="15"/>
    <col min="6400" max="6404" width="18.140625" style="15" customWidth="1"/>
    <col min="6405" max="6407" width="9.140625" style="15"/>
    <col min="6408" max="6408" width="13.85546875" style="15" customWidth="1"/>
    <col min="6409" max="6655" width="9.140625" style="15"/>
    <col min="6656" max="6660" width="18.140625" style="15" customWidth="1"/>
    <col min="6661" max="6663" width="9.140625" style="15"/>
    <col min="6664" max="6664" width="13.85546875" style="15" customWidth="1"/>
    <col min="6665" max="6911" width="9.140625" style="15"/>
    <col min="6912" max="6916" width="18.140625" style="15" customWidth="1"/>
    <col min="6917" max="6919" width="9.140625" style="15"/>
    <col min="6920" max="6920" width="13.85546875" style="15" customWidth="1"/>
    <col min="6921" max="7167" width="9.140625" style="15"/>
    <col min="7168" max="7172" width="18.140625" style="15" customWidth="1"/>
    <col min="7173" max="7175" width="9.140625" style="15"/>
    <col min="7176" max="7176" width="13.85546875" style="15" customWidth="1"/>
    <col min="7177" max="7423" width="9.140625" style="15"/>
    <col min="7424" max="7428" width="18.140625" style="15" customWidth="1"/>
    <col min="7429" max="7431" width="9.140625" style="15"/>
    <col min="7432" max="7432" width="13.85546875" style="15" customWidth="1"/>
    <col min="7433" max="7679" width="9.140625" style="15"/>
    <col min="7680" max="7684" width="18.140625" style="15" customWidth="1"/>
    <col min="7685" max="7687" width="9.140625" style="15"/>
    <col min="7688" max="7688" width="13.85546875" style="15" customWidth="1"/>
    <col min="7689" max="7935" width="9.140625" style="15"/>
    <col min="7936" max="7940" width="18.140625" style="15" customWidth="1"/>
    <col min="7941" max="7943" width="9.140625" style="15"/>
    <col min="7944" max="7944" width="13.85546875" style="15" customWidth="1"/>
    <col min="7945" max="8191" width="9.140625" style="15"/>
    <col min="8192" max="8196" width="18.140625" style="15" customWidth="1"/>
    <col min="8197" max="8199" width="9.140625" style="15"/>
    <col min="8200" max="8200" width="13.85546875" style="15" customWidth="1"/>
    <col min="8201" max="8447" width="9.140625" style="15"/>
    <col min="8448" max="8452" width="18.140625" style="15" customWidth="1"/>
    <col min="8453" max="8455" width="9.140625" style="15"/>
    <col min="8456" max="8456" width="13.85546875" style="15" customWidth="1"/>
    <col min="8457" max="8703" width="9.140625" style="15"/>
    <col min="8704" max="8708" width="18.140625" style="15" customWidth="1"/>
    <col min="8709" max="8711" width="9.140625" style="15"/>
    <col min="8712" max="8712" width="13.85546875" style="15" customWidth="1"/>
    <col min="8713" max="8959" width="9.140625" style="15"/>
    <col min="8960" max="8964" width="18.140625" style="15" customWidth="1"/>
    <col min="8965" max="8967" width="9.140625" style="15"/>
    <col min="8968" max="8968" width="13.85546875" style="15" customWidth="1"/>
    <col min="8969" max="9215" width="9.140625" style="15"/>
    <col min="9216" max="9220" width="18.140625" style="15" customWidth="1"/>
    <col min="9221" max="9223" width="9.140625" style="15"/>
    <col min="9224" max="9224" width="13.85546875" style="15" customWidth="1"/>
    <col min="9225" max="9471" width="9.140625" style="15"/>
    <col min="9472" max="9476" width="18.140625" style="15" customWidth="1"/>
    <col min="9477" max="9479" width="9.140625" style="15"/>
    <col min="9480" max="9480" width="13.85546875" style="15" customWidth="1"/>
    <col min="9481" max="9727" width="9.140625" style="15"/>
    <col min="9728" max="9732" width="18.140625" style="15" customWidth="1"/>
    <col min="9733" max="9735" width="9.140625" style="15"/>
    <col min="9736" max="9736" width="13.85546875" style="15" customWidth="1"/>
    <col min="9737" max="9983" width="9.140625" style="15"/>
    <col min="9984" max="9988" width="18.140625" style="15" customWidth="1"/>
    <col min="9989" max="9991" width="9.140625" style="15"/>
    <col min="9992" max="9992" width="13.85546875" style="15" customWidth="1"/>
    <col min="9993" max="10239" width="9.140625" style="15"/>
    <col min="10240" max="10244" width="18.140625" style="15" customWidth="1"/>
    <col min="10245" max="10247" width="9.140625" style="15"/>
    <col min="10248" max="10248" width="13.85546875" style="15" customWidth="1"/>
    <col min="10249" max="10495" width="9.140625" style="15"/>
    <col min="10496" max="10500" width="18.140625" style="15" customWidth="1"/>
    <col min="10501" max="10503" width="9.140625" style="15"/>
    <col min="10504" max="10504" width="13.85546875" style="15" customWidth="1"/>
    <col min="10505" max="10751" width="9.140625" style="15"/>
    <col min="10752" max="10756" width="18.140625" style="15" customWidth="1"/>
    <col min="10757" max="10759" width="9.140625" style="15"/>
    <col min="10760" max="10760" width="13.85546875" style="15" customWidth="1"/>
    <col min="10761" max="11007" width="9.140625" style="15"/>
    <col min="11008" max="11012" width="18.140625" style="15" customWidth="1"/>
    <col min="11013" max="11015" width="9.140625" style="15"/>
    <col min="11016" max="11016" width="13.85546875" style="15" customWidth="1"/>
    <col min="11017" max="11263" width="9.140625" style="15"/>
    <col min="11264" max="11268" width="18.140625" style="15" customWidth="1"/>
    <col min="11269" max="11271" width="9.140625" style="15"/>
    <col min="11272" max="11272" width="13.85546875" style="15" customWidth="1"/>
    <col min="11273" max="11519" width="9.140625" style="15"/>
    <col min="11520" max="11524" width="18.140625" style="15" customWidth="1"/>
    <col min="11525" max="11527" width="9.140625" style="15"/>
    <col min="11528" max="11528" width="13.85546875" style="15" customWidth="1"/>
    <col min="11529" max="11775" width="9.140625" style="15"/>
    <col min="11776" max="11780" width="18.140625" style="15" customWidth="1"/>
    <col min="11781" max="11783" width="9.140625" style="15"/>
    <col min="11784" max="11784" width="13.85546875" style="15" customWidth="1"/>
    <col min="11785" max="12031" width="9.140625" style="15"/>
    <col min="12032" max="12036" width="18.140625" style="15" customWidth="1"/>
    <col min="12037" max="12039" width="9.140625" style="15"/>
    <col min="12040" max="12040" width="13.85546875" style="15" customWidth="1"/>
    <col min="12041" max="12287" width="9.140625" style="15"/>
    <col min="12288" max="12292" width="18.140625" style="15" customWidth="1"/>
    <col min="12293" max="12295" width="9.140625" style="15"/>
    <col min="12296" max="12296" width="13.85546875" style="15" customWidth="1"/>
    <col min="12297" max="12543" width="9.140625" style="15"/>
    <col min="12544" max="12548" width="18.140625" style="15" customWidth="1"/>
    <col min="12549" max="12551" width="9.140625" style="15"/>
    <col min="12552" max="12552" width="13.85546875" style="15" customWidth="1"/>
    <col min="12553" max="12799" width="9.140625" style="15"/>
    <col min="12800" max="12804" width="18.140625" style="15" customWidth="1"/>
    <col min="12805" max="12807" width="9.140625" style="15"/>
    <col min="12808" max="12808" width="13.85546875" style="15" customWidth="1"/>
    <col min="12809" max="13055" width="9.140625" style="15"/>
    <col min="13056" max="13060" width="18.140625" style="15" customWidth="1"/>
    <col min="13061" max="13063" width="9.140625" style="15"/>
    <col min="13064" max="13064" width="13.85546875" style="15" customWidth="1"/>
    <col min="13065" max="13311" width="9.140625" style="15"/>
    <col min="13312" max="13316" width="18.140625" style="15" customWidth="1"/>
    <col min="13317" max="13319" width="9.140625" style="15"/>
    <col min="13320" max="13320" width="13.85546875" style="15" customWidth="1"/>
    <col min="13321" max="13567" width="9.140625" style="15"/>
    <col min="13568" max="13572" width="18.140625" style="15" customWidth="1"/>
    <col min="13573" max="13575" width="9.140625" style="15"/>
    <col min="13576" max="13576" width="13.85546875" style="15" customWidth="1"/>
    <col min="13577" max="13823" width="9.140625" style="15"/>
    <col min="13824" max="13828" width="18.140625" style="15" customWidth="1"/>
    <col min="13829" max="13831" width="9.140625" style="15"/>
    <col min="13832" max="13832" width="13.85546875" style="15" customWidth="1"/>
    <col min="13833" max="14079" width="9.140625" style="15"/>
    <col min="14080" max="14084" width="18.140625" style="15" customWidth="1"/>
    <col min="14085" max="14087" width="9.140625" style="15"/>
    <col min="14088" max="14088" width="13.85546875" style="15" customWidth="1"/>
    <col min="14089" max="14335" width="9.140625" style="15"/>
    <col min="14336" max="14340" width="18.140625" style="15" customWidth="1"/>
    <col min="14341" max="14343" width="9.140625" style="15"/>
    <col min="14344" max="14344" width="13.85546875" style="15" customWidth="1"/>
    <col min="14345" max="14591" width="9.140625" style="15"/>
    <col min="14592" max="14596" width="18.140625" style="15" customWidth="1"/>
    <col min="14597" max="14599" width="9.140625" style="15"/>
    <col min="14600" max="14600" width="13.85546875" style="15" customWidth="1"/>
    <col min="14601" max="14847" width="9.140625" style="15"/>
    <col min="14848" max="14852" width="18.140625" style="15" customWidth="1"/>
    <col min="14853" max="14855" width="9.140625" style="15"/>
    <col min="14856" max="14856" width="13.85546875" style="15" customWidth="1"/>
    <col min="14857" max="15103" width="9.140625" style="15"/>
    <col min="15104" max="15108" width="18.140625" style="15" customWidth="1"/>
    <col min="15109" max="15111" width="9.140625" style="15"/>
    <col min="15112" max="15112" width="13.85546875" style="15" customWidth="1"/>
    <col min="15113" max="15359" width="9.140625" style="15"/>
    <col min="15360" max="15364" width="18.140625" style="15" customWidth="1"/>
    <col min="15365" max="15367" width="9.140625" style="15"/>
    <col min="15368" max="15368" width="13.85546875" style="15" customWidth="1"/>
    <col min="15369" max="15615" width="9.140625" style="15"/>
    <col min="15616" max="15620" width="18.140625" style="15" customWidth="1"/>
    <col min="15621" max="15623" width="9.140625" style="15"/>
    <col min="15624" max="15624" width="13.85546875" style="15" customWidth="1"/>
    <col min="15625" max="15871" width="9.140625" style="15"/>
    <col min="15872" max="15876" width="18.140625" style="15" customWidth="1"/>
    <col min="15877" max="15879" width="9.140625" style="15"/>
    <col min="15880" max="15880" width="13.85546875" style="15" customWidth="1"/>
    <col min="15881" max="16127" width="9.140625" style="15"/>
    <col min="16128" max="16132" width="18.140625" style="15" customWidth="1"/>
    <col min="16133" max="16135" width="9.140625" style="15"/>
    <col min="16136" max="16136" width="13.85546875" style="15" customWidth="1"/>
    <col min="16137" max="16384" width="9.140625" style="15"/>
  </cols>
  <sheetData>
    <row r="1" spans="1:9" s="14" customFormat="1" ht="20.25" x14ac:dyDescent="0.3">
      <c r="A1" s="13" t="s">
        <v>161</v>
      </c>
    </row>
    <row r="2" spans="1:9" ht="13.5" customHeight="1" x14ac:dyDescent="0.2">
      <c r="A2" s="15" t="s">
        <v>183</v>
      </c>
    </row>
    <row r="3" spans="1:9" ht="13.5" customHeight="1" x14ac:dyDescent="0.2">
      <c r="A3" s="16"/>
    </row>
    <row r="4" spans="1:9" x14ac:dyDescent="0.2">
      <c r="A4" s="60" t="s">
        <v>108</v>
      </c>
      <c r="B4" s="76">
        <f>Berekening!E43</f>
        <v>41087</v>
      </c>
      <c r="D4" s="60" t="s">
        <v>162</v>
      </c>
      <c r="E4" s="75"/>
      <c r="G4" s="173" t="s">
        <v>184</v>
      </c>
      <c r="H4" s="17" t="s">
        <v>185</v>
      </c>
    </row>
    <row r="5" spans="1:9" x14ac:dyDescent="0.2">
      <c r="A5" s="60" t="s">
        <v>163</v>
      </c>
      <c r="B5" s="59">
        <f>B6*12</f>
        <v>240</v>
      </c>
      <c r="D5" s="133" t="s">
        <v>164</v>
      </c>
      <c r="E5" s="74">
        <f>MAX(B4*1.5%,E14)+(E13*Quotiteiten!C4)</f>
        <v>676.30499999999995</v>
      </c>
      <c r="G5" s="174" t="s">
        <v>186</v>
      </c>
      <c r="H5" s="17" t="s">
        <v>187</v>
      </c>
    </row>
    <row r="6" spans="1:9" x14ac:dyDescent="0.2">
      <c r="A6" s="60" t="s">
        <v>165</v>
      </c>
      <c r="B6" s="162">
        <v>20</v>
      </c>
      <c r="D6" s="133" t="s">
        <v>166</v>
      </c>
      <c r="E6" s="135">
        <f>E5/Quotiteiten!D4</f>
        <v>0.70448437499999994</v>
      </c>
      <c r="H6" s="17" t="s">
        <v>188</v>
      </c>
    </row>
    <row r="7" spans="1:9" x14ac:dyDescent="0.2">
      <c r="A7" s="60" t="s">
        <v>167</v>
      </c>
      <c r="B7" s="77">
        <f>((1+B8)^(1/12))-1</f>
        <v>3.6748094004368514E-3</v>
      </c>
      <c r="H7" s="17" t="s">
        <v>189</v>
      </c>
    </row>
    <row r="8" spans="1:9" x14ac:dyDescent="0.2">
      <c r="A8" s="60" t="s">
        <v>168</v>
      </c>
      <c r="B8" s="164">
        <v>4.4999999999999998E-2</v>
      </c>
      <c r="D8" s="133" t="s">
        <v>169</v>
      </c>
      <c r="E8" s="165">
        <f>MAX(B4*3.5%,E14)+(E13*Quotiteiten!C4)</f>
        <v>1498.0450000000001</v>
      </c>
      <c r="H8" s="17" t="s">
        <v>190</v>
      </c>
    </row>
    <row r="9" spans="1:9" x14ac:dyDescent="0.2">
      <c r="A9" s="60" t="s">
        <v>170</v>
      </c>
      <c r="B9" s="76">
        <f>(B4*((1+B8)^(1/12)-1)*((1+B8)^(1/12))^B5)/(((1+B8)^(1/12))^B5-1)</f>
        <v>257.93978314570103</v>
      </c>
      <c r="D9" s="133" t="s">
        <v>171</v>
      </c>
      <c r="E9" s="136">
        <f>E8/Quotiteiten!D4</f>
        <v>1.5604635416666668</v>
      </c>
      <c r="H9" s="17" t="s">
        <v>191</v>
      </c>
    </row>
    <row r="10" spans="1:9" x14ac:dyDescent="0.2">
      <c r="A10" s="60" t="s">
        <v>172</v>
      </c>
      <c r="B10" s="76">
        <f>(B9*B5)-B4</f>
        <v>20818.54795496825</v>
      </c>
    </row>
    <row r="11" spans="1:9" x14ac:dyDescent="0.2">
      <c r="A11" s="118"/>
      <c r="B11" s="117"/>
      <c r="D11" s="133" t="s">
        <v>173</v>
      </c>
      <c r="E11" s="165">
        <f>MAX(B4*2.5%,E14)+(E13*Quotiteiten!C7)</f>
        <v>1027.175</v>
      </c>
    </row>
    <row r="12" spans="1:9" x14ac:dyDescent="0.2">
      <c r="A12" s="60" t="s">
        <v>174</v>
      </c>
      <c r="B12" s="76">
        <f>B9*B5</f>
        <v>61905.54795496825</v>
      </c>
      <c r="G12" s="173" t="s">
        <v>192</v>
      </c>
      <c r="H12" s="17" t="s">
        <v>193</v>
      </c>
    </row>
    <row r="13" spans="1:9" x14ac:dyDescent="0.2">
      <c r="A13" s="61" t="s">
        <v>175</v>
      </c>
      <c r="B13" s="74">
        <f>B4</f>
        <v>41087</v>
      </c>
      <c r="D13" s="21" t="s">
        <v>176</v>
      </c>
      <c r="E13" s="160">
        <v>6</v>
      </c>
      <c r="G13" s="173"/>
    </row>
    <row r="14" spans="1:9" x14ac:dyDescent="0.2">
      <c r="A14" s="61" t="s">
        <v>177</v>
      </c>
      <c r="B14" s="74">
        <f>B12-B13</f>
        <v>20818.54795496825</v>
      </c>
      <c r="D14" s="21" t="s">
        <v>178</v>
      </c>
      <c r="E14" s="160">
        <v>546</v>
      </c>
    </row>
    <row r="15" spans="1:9" x14ac:dyDescent="0.2">
      <c r="A15" s="21"/>
      <c r="B15" s="33"/>
      <c r="C15" s="34"/>
      <c r="D15" s="33"/>
      <c r="E15" s="21"/>
    </row>
    <row r="16" spans="1:9" ht="30" customHeight="1" x14ac:dyDescent="0.2">
      <c r="A16" s="18" t="s">
        <v>179</v>
      </c>
      <c r="B16" s="18" t="s">
        <v>180</v>
      </c>
      <c r="C16" s="18" t="s">
        <v>181</v>
      </c>
      <c r="D16" s="18" t="s">
        <v>177</v>
      </c>
      <c r="E16" s="18" t="s">
        <v>182</v>
      </c>
      <c r="I16" s="19"/>
    </row>
    <row r="17" spans="1:9" x14ac:dyDescent="0.2">
      <c r="A17" s="22">
        <v>0</v>
      </c>
      <c r="B17" s="23"/>
      <c r="C17" s="23"/>
      <c r="D17" s="23"/>
      <c r="E17" s="32">
        <f>B4</f>
        <v>41087</v>
      </c>
      <c r="I17" s="19"/>
    </row>
    <row r="18" spans="1:9" s="19" customFormat="1" x14ac:dyDescent="0.2">
      <c r="A18" s="22">
        <v>1</v>
      </c>
      <c r="B18" s="23">
        <f>B$9</f>
        <v>257.93978314570103</v>
      </c>
      <c r="C18" s="23">
        <f>B18-D18</f>
        <v>106.95288930995213</v>
      </c>
      <c r="D18" s="23">
        <f t="shared" ref="D18:D81" si="0">E17*B$7</f>
        <v>150.9868938357489</v>
      </c>
      <c r="E18" s="31">
        <f>E17-C18</f>
        <v>40980.047110690051</v>
      </c>
    </row>
    <row r="19" spans="1:9" s="19" customFormat="1" x14ac:dyDescent="0.2">
      <c r="A19" s="22">
        <v>2</v>
      </c>
      <c r="B19" s="23">
        <f t="shared" ref="B19:B82" si="1">B$9</f>
        <v>257.93978314570103</v>
      </c>
      <c r="C19" s="23">
        <f t="shared" ref="C19:C82" si="2">B19-D19</f>
        <v>107.34592079299219</v>
      </c>
      <c r="D19" s="23">
        <f t="shared" si="0"/>
        <v>150.59386235270884</v>
      </c>
      <c r="E19" s="31">
        <f t="shared" ref="E19:E82" si="3">E18-C19</f>
        <v>40872.70118989706</v>
      </c>
    </row>
    <row r="20" spans="1:9" s="19" customFormat="1" x14ac:dyDescent="0.2">
      <c r="A20" s="22">
        <v>3</v>
      </c>
      <c r="B20" s="23">
        <f t="shared" si="1"/>
        <v>257.93978314570103</v>
      </c>
      <c r="C20" s="23">
        <f t="shared" si="2"/>
        <v>107.74039659182083</v>
      </c>
      <c r="D20" s="23">
        <f t="shared" si="0"/>
        <v>150.1993865538802</v>
      </c>
      <c r="E20" s="31">
        <f t="shared" si="3"/>
        <v>40764.960793305239</v>
      </c>
    </row>
    <row r="21" spans="1:9" s="19" customFormat="1" x14ac:dyDescent="0.2">
      <c r="A21" s="22">
        <v>4</v>
      </c>
      <c r="B21" s="23">
        <f t="shared" si="1"/>
        <v>257.93978314570103</v>
      </c>
      <c r="C21" s="23">
        <f t="shared" si="2"/>
        <v>108.13632201402325</v>
      </c>
      <c r="D21" s="23">
        <f t="shared" si="0"/>
        <v>149.80346113167778</v>
      </c>
      <c r="E21" s="31">
        <f t="shared" si="3"/>
        <v>40656.824471291213</v>
      </c>
    </row>
    <row r="22" spans="1:9" s="19" customFormat="1" x14ac:dyDescent="0.2">
      <c r="A22" s="22">
        <v>5</v>
      </c>
      <c r="B22" s="23">
        <f t="shared" si="1"/>
        <v>257.93978314570103</v>
      </c>
      <c r="C22" s="23">
        <f t="shared" si="2"/>
        <v>108.53370238668904</v>
      </c>
      <c r="D22" s="23">
        <f t="shared" si="0"/>
        <v>149.40608075901199</v>
      </c>
      <c r="E22" s="31">
        <f t="shared" si="3"/>
        <v>40548.290768904524</v>
      </c>
    </row>
    <row r="23" spans="1:9" s="19" customFormat="1" x14ac:dyDescent="0.2">
      <c r="A23" s="22">
        <v>6</v>
      </c>
      <c r="B23" s="23">
        <f t="shared" si="1"/>
        <v>257.93978314570103</v>
      </c>
      <c r="C23" s="23">
        <f t="shared" si="2"/>
        <v>108.93254305648387</v>
      </c>
      <c r="D23" s="23">
        <f t="shared" si="0"/>
        <v>149.00724008921716</v>
      </c>
      <c r="E23" s="31">
        <f t="shared" si="3"/>
        <v>40439.358225848038</v>
      </c>
    </row>
    <row r="24" spans="1:9" s="19" customFormat="1" x14ac:dyDescent="0.2">
      <c r="A24" s="22">
        <v>7</v>
      </c>
      <c r="B24" s="23">
        <f t="shared" si="1"/>
        <v>257.93978314570103</v>
      </c>
      <c r="C24" s="23">
        <f t="shared" si="2"/>
        <v>109.33284938972133</v>
      </c>
      <c r="D24" s="23">
        <f t="shared" si="0"/>
        <v>148.6069337559797</v>
      </c>
      <c r="E24" s="31">
        <f t="shared" si="3"/>
        <v>40330.025376458318</v>
      </c>
    </row>
    <row r="25" spans="1:9" s="19" customFormat="1" x14ac:dyDescent="0.2">
      <c r="A25" s="22">
        <v>8</v>
      </c>
      <c r="B25" s="23">
        <f t="shared" si="1"/>
        <v>257.93978314570103</v>
      </c>
      <c r="C25" s="23">
        <f t="shared" si="2"/>
        <v>109.73462677243523</v>
      </c>
      <c r="D25" s="23">
        <f t="shared" si="0"/>
        <v>148.20515637326579</v>
      </c>
      <c r="E25" s="31">
        <f t="shared" si="3"/>
        <v>40220.290749685882</v>
      </c>
    </row>
    <row r="26" spans="1:9" s="19" customFormat="1" x14ac:dyDescent="0.2">
      <c r="A26" s="22">
        <v>9</v>
      </c>
      <c r="B26" s="23">
        <f t="shared" si="1"/>
        <v>257.93978314570103</v>
      </c>
      <c r="C26" s="23">
        <f t="shared" si="2"/>
        <v>110.13788061045202</v>
      </c>
      <c r="D26" s="23">
        <f t="shared" si="0"/>
        <v>147.80190253524901</v>
      </c>
      <c r="E26" s="31">
        <f t="shared" si="3"/>
        <v>40110.152869075428</v>
      </c>
    </row>
    <row r="27" spans="1:9" s="19" customFormat="1" x14ac:dyDescent="0.2">
      <c r="A27" s="22">
        <v>10</v>
      </c>
      <c r="B27" s="23">
        <f t="shared" si="1"/>
        <v>257.93978314570103</v>
      </c>
      <c r="C27" s="23">
        <f t="shared" si="2"/>
        <v>110.5426163294635</v>
      </c>
      <c r="D27" s="23">
        <f t="shared" si="0"/>
        <v>147.39716681623753</v>
      </c>
      <c r="E27" s="31">
        <f t="shared" si="3"/>
        <v>39999.610252745966</v>
      </c>
    </row>
    <row r="28" spans="1:9" s="19" customFormat="1" x14ac:dyDescent="0.2">
      <c r="A28" s="22">
        <v>11</v>
      </c>
      <c r="B28" s="23">
        <f t="shared" si="1"/>
        <v>257.93978314570103</v>
      </c>
      <c r="C28" s="23">
        <f t="shared" si="2"/>
        <v>110.94883937509988</v>
      </c>
      <c r="D28" s="23">
        <f t="shared" si="0"/>
        <v>146.99094377060115</v>
      </c>
      <c r="E28" s="31">
        <f t="shared" si="3"/>
        <v>39888.661413370864</v>
      </c>
    </row>
    <row r="29" spans="1:9" s="19" customFormat="1" x14ac:dyDescent="0.2">
      <c r="A29" s="22">
        <v>12</v>
      </c>
      <c r="B29" s="23">
        <f t="shared" si="1"/>
        <v>257.93978314570103</v>
      </c>
      <c r="C29" s="23">
        <f t="shared" si="2"/>
        <v>111.35655521300308</v>
      </c>
      <c r="D29" s="23">
        <f t="shared" si="0"/>
        <v>146.58322793269795</v>
      </c>
      <c r="E29" s="31">
        <f t="shared" si="3"/>
        <v>39777.304858157862</v>
      </c>
    </row>
    <row r="30" spans="1:9" s="19" customFormat="1" x14ac:dyDescent="0.2">
      <c r="A30" s="22">
        <v>13</v>
      </c>
      <c r="B30" s="23">
        <f t="shared" si="1"/>
        <v>257.93978314570103</v>
      </c>
      <c r="C30" s="23">
        <f t="shared" si="2"/>
        <v>111.76576932890006</v>
      </c>
      <c r="D30" s="23">
        <f t="shared" si="0"/>
        <v>146.17401381680097</v>
      </c>
      <c r="E30" s="31">
        <f t="shared" si="3"/>
        <v>39665.539088828962</v>
      </c>
    </row>
    <row r="31" spans="1:9" s="19" customFormat="1" x14ac:dyDescent="0.2">
      <c r="A31" s="22">
        <v>14</v>
      </c>
      <c r="B31" s="23">
        <f t="shared" si="1"/>
        <v>257.93978314570103</v>
      </c>
      <c r="C31" s="23">
        <f t="shared" si="2"/>
        <v>112.17648722867696</v>
      </c>
      <c r="D31" s="23">
        <f t="shared" si="0"/>
        <v>145.76329591702407</v>
      </c>
      <c r="E31" s="31">
        <f t="shared" si="3"/>
        <v>39553.362601600282</v>
      </c>
    </row>
    <row r="32" spans="1:9" s="19" customFormat="1" x14ac:dyDescent="0.2">
      <c r="A32" s="22">
        <v>15</v>
      </c>
      <c r="B32" s="23">
        <f t="shared" si="1"/>
        <v>257.93978314570103</v>
      </c>
      <c r="C32" s="23">
        <f t="shared" si="2"/>
        <v>112.58871443845291</v>
      </c>
      <c r="D32" s="23">
        <f t="shared" si="0"/>
        <v>145.35106870724812</v>
      </c>
      <c r="E32" s="31">
        <f t="shared" si="3"/>
        <v>39440.773887161828</v>
      </c>
    </row>
    <row r="33" spans="1:5" s="19" customFormat="1" x14ac:dyDescent="0.2">
      <c r="A33" s="22">
        <v>16</v>
      </c>
      <c r="B33" s="23">
        <f t="shared" si="1"/>
        <v>257.93978314570103</v>
      </c>
      <c r="C33" s="23">
        <f t="shared" si="2"/>
        <v>113.00245650465445</v>
      </c>
      <c r="D33" s="23">
        <f t="shared" si="0"/>
        <v>144.93732664104658</v>
      </c>
      <c r="E33" s="31">
        <f t="shared" si="3"/>
        <v>39327.771430657172</v>
      </c>
    </row>
    <row r="34" spans="1:5" s="19" customFormat="1" x14ac:dyDescent="0.2">
      <c r="A34" s="22">
        <v>17</v>
      </c>
      <c r="B34" s="23">
        <f t="shared" si="1"/>
        <v>257.93978314570103</v>
      </c>
      <c r="C34" s="23">
        <f t="shared" si="2"/>
        <v>113.41771899409022</v>
      </c>
      <c r="D34" s="23">
        <f t="shared" si="0"/>
        <v>144.52206415161081</v>
      </c>
      <c r="E34" s="31">
        <f t="shared" si="3"/>
        <v>39214.353711663083</v>
      </c>
    </row>
    <row r="35" spans="1:5" s="19" customFormat="1" x14ac:dyDescent="0.2">
      <c r="A35" s="22">
        <v>18</v>
      </c>
      <c r="B35" s="23">
        <f t="shared" si="1"/>
        <v>257.93978314570103</v>
      </c>
      <c r="C35" s="23">
        <f t="shared" si="2"/>
        <v>113.83450749402579</v>
      </c>
      <c r="D35" s="23">
        <f t="shared" si="0"/>
        <v>144.10527565167524</v>
      </c>
      <c r="E35" s="31">
        <f t="shared" si="3"/>
        <v>39100.519204169061</v>
      </c>
    </row>
    <row r="36" spans="1:5" s="19" customFormat="1" x14ac:dyDescent="0.2">
      <c r="A36" s="22">
        <v>19</v>
      </c>
      <c r="B36" s="23">
        <f t="shared" si="1"/>
        <v>257.93978314570103</v>
      </c>
      <c r="C36" s="23">
        <f t="shared" si="2"/>
        <v>114.25282761225893</v>
      </c>
      <c r="D36" s="23">
        <f t="shared" si="0"/>
        <v>143.6869555334421</v>
      </c>
      <c r="E36" s="31">
        <f t="shared" si="3"/>
        <v>38986.2663765568</v>
      </c>
    </row>
    <row r="37" spans="1:5" s="19" customFormat="1" x14ac:dyDescent="0.2">
      <c r="A37" s="22">
        <v>20</v>
      </c>
      <c r="B37" s="23">
        <f t="shared" si="1"/>
        <v>257.93978314570103</v>
      </c>
      <c r="C37" s="23">
        <f t="shared" si="2"/>
        <v>114.67268497719496</v>
      </c>
      <c r="D37" s="23">
        <f t="shared" si="0"/>
        <v>143.26709816850607</v>
      </c>
      <c r="E37" s="31">
        <f t="shared" si="3"/>
        <v>38871.593691579605</v>
      </c>
    </row>
    <row r="38" spans="1:5" s="19" customFormat="1" x14ac:dyDescent="0.2">
      <c r="A38" s="22">
        <v>21</v>
      </c>
      <c r="B38" s="23">
        <f t="shared" si="1"/>
        <v>257.93978314570103</v>
      </c>
      <c r="C38" s="23">
        <f t="shared" si="2"/>
        <v>115.09408523792249</v>
      </c>
      <c r="D38" s="23">
        <f t="shared" si="0"/>
        <v>142.84569790777854</v>
      </c>
      <c r="E38" s="31">
        <f t="shared" si="3"/>
        <v>38756.499606341684</v>
      </c>
    </row>
    <row r="39" spans="1:5" s="19" customFormat="1" x14ac:dyDescent="0.2">
      <c r="A39" s="22">
        <v>22</v>
      </c>
      <c r="B39" s="23">
        <f t="shared" si="1"/>
        <v>257.93978314570103</v>
      </c>
      <c r="C39" s="23">
        <f t="shared" si="2"/>
        <v>115.51703406428948</v>
      </c>
      <c r="D39" s="23">
        <f t="shared" si="0"/>
        <v>142.42274908141155</v>
      </c>
      <c r="E39" s="31">
        <f t="shared" si="3"/>
        <v>38640.982572277397</v>
      </c>
    </row>
    <row r="40" spans="1:5" s="19" customFormat="1" x14ac:dyDescent="0.2">
      <c r="A40" s="22">
        <v>23</v>
      </c>
      <c r="B40" s="23">
        <f t="shared" si="1"/>
        <v>257.93978314570103</v>
      </c>
      <c r="C40" s="23">
        <f t="shared" si="2"/>
        <v>115.9415371469795</v>
      </c>
      <c r="D40" s="23">
        <f t="shared" si="0"/>
        <v>141.99824599872153</v>
      </c>
      <c r="E40" s="31">
        <f t="shared" si="3"/>
        <v>38525.041035130416</v>
      </c>
    </row>
    <row r="41" spans="1:5" s="19" customFormat="1" x14ac:dyDescent="0.2">
      <c r="A41" s="22">
        <v>24</v>
      </c>
      <c r="B41" s="23">
        <f t="shared" si="1"/>
        <v>257.93978314570103</v>
      </c>
      <c r="C41" s="23">
        <f t="shared" si="2"/>
        <v>116.36760019758833</v>
      </c>
      <c r="D41" s="23">
        <f t="shared" si="0"/>
        <v>141.5721829481127</v>
      </c>
      <c r="E41" s="31">
        <f t="shared" si="3"/>
        <v>38408.673434932825</v>
      </c>
    </row>
    <row r="42" spans="1:5" s="19" customFormat="1" x14ac:dyDescent="0.2">
      <c r="A42" s="22">
        <v>25</v>
      </c>
      <c r="B42" s="23">
        <f t="shared" si="1"/>
        <v>257.93978314570103</v>
      </c>
      <c r="C42" s="23">
        <f t="shared" si="2"/>
        <v>116.7952289487007</v>
      </c>
      <c r="D42" s="23">
        <f t="shared" si="0"/>
        <v>141.14455419700033</v>
      </c>
      <c r="E42" s="31">
        <f t="shared" si="3"/>
        <v>38291.878205984125</v>
      </c>
    </row>
    <row r="43" spans="1:5" s="19" customFormat="1" x14ac:dyDescent="0.2">
      <c r="A43" s="22">
        <v>26</v>
      </c>
      <c r="B43" s="23">
        <f t="shared" si="1"/>
        <v>257.93978314570103</v>
      </c>
      <c r="C43" s="23">
        <f t="shared" si="2"/>
        <v>117.22442915396758</v>
      </c>
      <c r="D43" s="23">
        <f t="shared" si="0"/>
        <v>140.71535399173345</v>
      </c>
      <c r="E43" s="31">
        <f t="shared" si="3"/>
        <v>38174.653776830157</v>
      </c>
    </row>
    <row r="44" spans="1:5" s="19" customFormat="1" x14ac:dyDescent="0.2">
      <c r="A44" s="22">
        <v>27</v>
      </c>
      <c r="B44" s="23">
        <f t="shared" si="1"/>
        <v>257.93978314570103</v>
      </c>
      <c r="C44" s="23">
        <f t="shared" si="2"/>
        <v>117.6552065881834</v>
      </c>
      <c r="D44" s="23">
        <f t="shared" si="0"/>
        <v>140.28457655751762</v>
      </c>
      <c r="E44" s="31">
        <f t="shared" si="3"/>
        <v>38056.998570241973</v>
      </c>
    </row>
    <row r="45" spans="1:5" s="19" customFormat="1" x14ac:dyDescent="0.2">
      <c r="A45" s="22">
        <v>28</v>
      </c>
      <c r="B45" s="23">
        <f t="shared" si="1"/>
        <v>257.93978314570103</v>
      </c>
      <c r="C45" s="23">
        <f t="shared" si="2"/>
        <v>118.08756704736402</v>
      </c>
      <c r="D45" s="23">
        <f t="shared" si="0"/>
        <v>139.85221609833701</v>
      </c>
      <c r="E45" s="31">
        <f t="shared" si="3"/>
        <v>37938.911003194611</v>
      </c>
    </row>
    <row r="46" spans="1:5" s="19" customFormat="1" x14ac:dyDescent="0.2">
      <c r="A46" s="22">
        <v>29</v>
      </c>
      <c r="B46" s="23">
        <f t="shared" si="1"/>
        <v>257.93978314570103</v>
      </c>
      <c r="C46" s="23">
        <f t="shared" si="2"/>
        <v>118.52151634882438</v>
      </c>
      <c r="D46" s="23">
        <f t="shared" si="0"/>
        <v>139.41826679687665</v>
      </c>
      <c r="E46" s="31">
        <f t="shared" si="3"/>
        <v>37820.389486845786</v>
      </c>
    </row>
    <row r="47" spans="1:5" s="19" customFormat="1" x14ac:dyDescent="0.2">
      <c r="A47" s="22">
        <v>30</v>
      </c>
      <c r="B47" s="23">
        <f t="shared" si="1"/>
        <v>257.93978314570103</v>
      </c>
      <c r="C47" s="23">
        <f t="shared" si="2"/>
        <v>118.95706033125705</v>
      </c>
      <c r="D47" s="23">
        <f t="shared" si="0"/>
        <v>138.98272281444397</v>
      </c>
      <c r="E47" s="31">
        <f t="shared" si="3"/>
        <v>37701.432426514526</v>
      </c>
    </row>
    <row r="48" spans="1:5" s="19" customFormat="1" x14ac:dyDescent="0.2">
      <c r="A48" s="22">
        <v>31</v>
      </c>
      <c r="B48" s="23">
        <f t="shared" si="1"/>
        <v>257.93978314570103</v>
      </c>
      <c r="C48" s="23">
        <f t="shared" si="2"/>
        <v>119.39420485481071</v>
      </c>
      <c r="D48" s="23">
        <f t="shared" si="0"/>
        <v>138.54557829089032</v>
      </c>
      <c r="E48" s="31">
        <f t="shared" si="3"/>
        <v>37582.038221659714</v>
      </c>
    </row>
    <row r="49" spans="1:5" s="19" customFormat="1" x14ac:dyDescent="0.2">
      <c r="A49" s="22">
        <v>32</v>
      </c>
      <c r="B49" s="23">
        <f t="shared" si="1"/>
        <v>257.93978314570103</v>
      </c>
      <c r="C49" s="23">
        <f t="shared" si="2"/>
        <v>119.83295580116885</v>
      </c>
      <c r="D49" s="23">
        <f t="shared" si="0"/>
        <v>138.10682734453218</v>
      </c>
      <c r="E49" s="31">
        <f t="shared" si="3"/>
        <v>37462.205265858545</v>
      </c>
    </row>
    <row r="50" spans="1:5" s="19" customFormat="1" x14ac:dyDescent="0.2">
      <c r="A50" s="22">
        <v>33</v>
      </c>
      <c r="B50" s="23">
        <f t="shared" si="1"/>
        <v>257.93978314570103</v>
      </c>
      <c r="C50" s="23">
        <f t="shared" si="2"/>
        <v>120.27331907362912</v>
      </c>
      <c r="D50" s="23">
        <f t="shared" si="0"/>
        <v>137.6664640720719</v>
      </c>
      <c r="E50" s="31">
        <f t="shared" si="3"/>
        <v>37341.931946784913</v>
      </c>
    </row>
    <row r="51" spans="1:5" s="19" customFormat="1" x14ac:dyDescent="0.2">
      <c r="A51" s="22">
        <v>34</v>
      </c>
      <c r="B51" s="23">
        <f t="shared" si="1"/>
        <v>257.93978314570103</v>
      </c>
      <c r="C51" s="23">
        <f t="shared" si="2"/>
        <v>120.71530059718265</v>
      </c>
      <c r="D51" s="23">
        <f t="shared" si="0"/>
        <v>137.22448254851838</v>
      </c>
      <c r="E51" s="31">
        <f t="shared" si="3"/>
        <v>37221.216646187728</v>
      </c>
    </row>
    <row r="52" spans="1:5" s="19" customFormat="1" x14ac:dyDescent="0.2">
      <c r="A52" s="22">
        <v>35</v>
      </c>
      <c r="B52" s="23">
        <f t="shared" si="1"/>
        <v>257.93978314570103</v>
      </c>
      <c r="C52" s="23">
        <f t="shared" si="2"/>
        <v>121.15890631859375</v>
      </c>
      <c r="D52" s="23">
        <f t="shared" si="0"/>
        <v>136.78087682710728</v>
      </c>
      <c r="E52" s="31">
        <f t="shared" si="3"/>
        <v>37100.057739869131</v>
      </c>
    </row>
    <row r="53" spans="1:5" s="19" customFormat="1" x14ac:dyDescent="0.2">
      <c r="A53" s="22">
        <v>36</v>
      </c>
      <c r="B53" s="23">
        <f t="shared" si="1"/>
        <v>257.93978314570103</v>
      </c>
      <c r="C53" s="23">
        <f t="shared" si="2"/>
        <v>121.60414220647996</v>
      </c>
      <c r="D53" s="23">
        <f t="shared" si="0"/>
        <v>136.33564093922107</v>
      </c>
      <c r="E53" s="31">
        <f t="shared" si="3"/>
        <v>36978.45359766265</v>
      </c>
    </row>
    <row r="54" spans="1:5" s="19" customFormat="1" x14ac:dyDescent="0.2">
      <c r="A54" s="22">
        <v>37</v>
      </c>
      <c r="B54" s="23">
        <f t="shared" si="1"/>
        <v>257.93978314570103</v>
      </c>
      <c r="C54" s="23">
        <f t="shared" si="2"/>
        <v>122.05101425139242</v>
      </c>
      <c r="D54" s="23">
        <f t="shared" si="0"/>
        <v>135.88876889430861</v>
      </c>
      <c r="E54" s="31">
        <f t="shared" si="3"/>
        <v>36856.402583411254</v>
      </c>
    </row>
    <row r="55" spans="1:5" s="19" customFormat="1" x14ac:dyDescent="0.2">
      <c r="A55" s="22">
        <v>38</v>
      </c>
      <c r="B55" s="23">
        <f t="shared" si="1"/>
        <v>257.93978314570103</v>
      </c>
      <c r="C55" s="23">
        <f t="shared" si="2"/>
        <v>122.4995284658963</v>
      </c>
      <c r="D55" s="23">
        <f t="shared" si="0"/>
        <v>135.44025467980472</v>
      </c>
      <c r="E55" s="31">
        <f t="shared" si="3"/>
        <v>36733.90305494536</v>
      </c>
    </row>
    <row r="56" spans="1:5" s="19" customFormat="1" x14ac:dyDescent="0.2">
      <c r="A56" s="22">
        <v>39</v>
      </c>
      <c r="B56" s="23">
        <f t="shared" si="1"/>
        <v>257.93978314570103</v>
      </c>
      <c r="C56" s="23">
        <f t="shared" si="2"/>
        <v>122.94969088465186</v>
      </c>
      <c r="D56" s="23">
        <f t="shared" si="0"/>
        <v>134.99009226104917</v>
      </c>
      <c r="E56" s="31">
        <f t="shared" si="3"/>
        <v>36610.953364060711</v>
      </c>
    </row>
    <row r="57" spans="1:5" s="19" customFormat="1" x14ac:dyDescent="0.2">
      <c r="A57" s="22">
        <v>40</v>
      </c>
      <c r="B57" s="23">
        <f t="shared" si="1"/>
        <v>257.93978314570103</v>
      </c>
      <c r="C57" s="23">
        <f t="shared" si="2"/>
        <v>123.40150756449555</v>
      </c>
      <c r="D57" s="23">
        <f t="shared" si="0"/>
        <v>134.53827558120548</v>
      </c>
      <c r="E57" s="31">
        <f t="shared" si="3"/>
        <v>36487.551856496219</v>
      </c>
    </row>
    <row r="58" spans="1:5" s="19" customFormat="1" x14ac:dyDescent="0.2">
      <c r="A58" s="22">
        <v>41</v>
      </c>
      <c r="B58" s="23">
        <f t="shared" si="1"/>
        <v>257.93978314570103</v>
      </c>
      <c r="C58" s="23">
        <f t="shared" si="2"/>
        <v>123.85498458452165</v>
      </c>
      <c r="D58" s="23">
        <f t="shared" si="0"/>
        <v>134.08479856117938</v>
      </c>
      <c r="E58" s="31">
        <f t="shared" si="3"/>
        <v>36363.696871911699</v>
      </c>
    </row>
    <row r="59" spans="1:5" s="19" customFormat="1" x14ac:dyDescent="0.2">
      <c r="A59" s="22">
        <v>42</v>
      </c>
      <c r="B59" s="23">
        <f t="shared" si="1"/>
        <v>257.93978314570103</v>
      </c>
      <c r="C59" s="23">
        <f t="shared" si="2"/>
        <v>124.31012804616378</v>
      </c>
      <c r="D59" s="23">
        <f t="shared" si="0"/>
        <v>133.62965509953725</v>
      </c>
      <c r="E59" s="31">
        <f t="shared" si="3"/>
        <v>36239.386743865536</v>
      </c>
    </row>
    <row r="60" spans="1:5" s="19" customFormat="1" x14ac:dyDescent="0.2">
      <c r="A60" s="22">
        <v>43</v>
      </c>
      <c r="B60" s="23">
        <f t="shared" si="1"/>
        <v>257.93978314570103</v>
      </c>
      <c r="C60" s="23">
        <f t="shared" si="2"/>
        <v>124.76694407327733</v>
      </c>
      <c r="D60" s="23">
        <f t="shared" si="0"/>
        <v>133.1728390724237</v>
      </c>
      <c r="E60" s="31">
        <f t="shared" si="3"/>
        <v>36114.619799792257</v>
      </c>
    </row>
    <row r="61" spans="1:5" s="19" customFormat="1" x14ac:dyDescent="0.2">
      <c r="A61" s="22">
        <v>44</v>
      </c>
      <c r="B61" s="23">
        <f t="shared" si="1"/>
        <v>257.93978314570103</v>
      </c>
      <c r="C61" s="23">
        <f t="shared" si="2"/>
        <v>125.2254388122216</v>
      </c>
      <c r="D61" s="23">
        <f t="shared" si="0"/>
        <v>132.71434433347943</v>
      </c>
      <c r="E61" s="31">
        <f t="shared" si="3"/>
        <v>35989.394360980034</v>
      </c>
    </row>
    <row r="62" spans="1:5" s="19" customFormat="1" x14ac:dyDescent="0.2">
      <c r="A62" s="22">
        <v>45</v>
      </c>
      <c r="B62" s="23">
        <f t="shared" si="1"/>
        <v>257.93978314570103</v>
      </c>
      <c r="C62" s="23">
        <f t="shared" si="2"/>
        <v>125.6856184319426</v>
      </c>
      <c r="D62" s="23">
        <f t="shared" si="0"/>
        <v>132.25416471375843</v>
      </c>
      <c r="E62" s="31">
        <f t="shared" si="3"/>
        <v>35863.708742548093</v>
      </c>
    </row>
    <row r="63" spans="1:5" s="19" customFormat="1" x14ac:dyDescent="0.2">
      <c r="A63" s="22">
        <v>46</v>
      </c>
      <c r="B63" s="23">
        <f t="shared" si="1"/>
        <v>257.93978314570103</v>
      </c>
      <c r="C63" s="23">
        <f t="shared" si="2"/>
        <v>126.14748912405599</v>
      </c>
      <c r="D63" s="23">
        <f t="shared" si="0"/>
        <v>131.79229402164503</v>
      </c>
      <c r="E63" s="31">
        <f t="shared" si="3"/>
        <v>35737.561253424035</v>
      </c>
    </row>
    <row r="64" spans="1:5" s="19" customFormat="1" x14ac:dyDescent="0.2">
      <c r="A64" s="22">
        <v>47</v>
      </c>
      <c r="B64" s="23">
        <f t="shared" si="1"/>
        <v>257.93978314570103</v>
      </c>
      <c r="C64" s="23">
        <f t="shared" si="2"/>
        <v>126.6110571029306</v>
      </c>
      <c r="D64" s="23">
        <f t="shared" si="0"/>
        <v>131.32872604277043</v>
      </c>
      <c r="E64" s="31">
        <f t="shared" si="3"/>
        <v>35610.950196321108</v>
      </c>
    </row>
    <row r="65" spans="1:5" s="19" customFormat="1" x14ac:dyDescent="0.2">
      <c r="A65" s="22">
        <v>48</v>
      </c>
      <c r="B65" s="23">
        <f t="shared" si="1"/>
        <v>257.93978314570103</v>
      </c>
      <c r="C65" s="23">
        <f t="shared" si="2"/>
        <v>127.07632860577169</v>
      </c>
      <c r="D65" s="23">
        <f t="shared" si="0"/>
        <v>130.86345453992934</v>
      </c>
      <c r="E65" s="31">
        <f t="shared" si="3"/>
        <v>35483.873867715338</v>
      </c>
    </row>
    <row r="66" spans="1:5" s="19" customFormat="1" x14ac:dyDescent="0.2">
      <c r="A66" s="22">
        <v>49</v>
      </c>
      <c r="B66" s="23">
        <f t="shared" si="1"/>
        <v>257.93978314570103</v>
      </c>
      <c r="C66" s="23">
        <f t="shared" si="2"/>
        <v>127.54330989270517</v>
      </c>
      <c r="D66" s="23">
        <f t="shared" si="0"/>
        <v>130.39647325299586</v>
      </c>
      <c r="E66" s="31">
        <f t="shared" si="3"/>
        <v>35356.330557822635</v>
      </c>
    </row>
    <row r="67" spans="1:5" s="19" customFormat="1" x14ac:dyDescent="0.2">
      <c r="A67" s="22">
        <v>50</v>
      </c>
      <c r="B67" s="23">
        <f t="shared" si="1"/>
        <v>257.93978314570103</v>
      </c>
      <c r="C67" s="23">
        <f t="shared" si="2"/>
        <v>128.01200724686171</v>
      </c>
      <c r="D67" s="23">
        <f t="shared" si="0"/>
        <v>129.92777589883931</v>
      </c>
      <c r="E67" s="31">
        <f t="shared" si="3"/>
        <v>35228.318550575772</v>
      </c>
    </row>
    <row r="68" spans="1:5" s="19" customFormat="1" x14ac:dyDescent="0.2">
      <c r="A68" s="22">
        <v>51</v>
      </c>
      <c r="B68" s="23">
        <f t="shared" si="1"/>
        <v>257.93978314570103</v>
      </c>
      <c r="C68" s="23">
        <f t="shared" si="2"/>
        <v>128.48242697446128</v>
      </c>
      <c r="D68" s="23">
        <f t="shared" si="0"/>
        <v>129.45735617123975</v>
      </c>
      <c r="E68" s="31">
        <f t="shared" si="3"/>
        <v>35099.836123601308</v>
      </c>
    </row>
    <row r="69" spans="1:5" s="19" customFormat="1" x14ac:dyDescent="0.2">
      <c r="A69" s="22">
        <v>52</v>
      </c>
      <c r="B69" s="23">
        <f t="shared" si="1"/>
        <v>257.93978314570103</v>
      </c>
      <c r="C69" s="23">
        <f t="shared" si="2"/>
        <v>128.95457540489795</v>
      </c>
      <c r="D69" s="23">
        <f t="shared" si="0"/>
        <v>128.98520774080308</v>
      </c>
      <c r="E69" s="31">
        <f t="shared" si="3"/>
        <v>34970.881548196412</v>
      </c>
    </row>
    <row r="70" spans="1:5" s="19" customFormat="1" x14ac:dyDescent="0.2">
      <c r="A70" s="22">
        <v>53</v>
      </c>
      <c r="B70" s="23">
        <f t="shared" si="1"/>
        <v>257.93978314570103</v>
      </c>
      <c r="C70" s="23">
        <f t="shared" si="2"/>
        <v>129.42845889082523</v>
      </c>
      <c r="D70" s="23">
        <f t="shared" si="0"/>
        <v>128.5113242548758</v>
      </c>
      <c r="E70" s="31">
        <f t="shared" si="3"/>
        <v>34841.453089305585</v>
      </c>
    </row>
    <row r="71" spans="1:5" s="19" customFormat="1" x14ac:dyDescent="0.2">
      <c r="A71" s="22">
        <v>54</v>
      </c>
      <c r="B71" s="23">
        <f t="shared" si="1"/>
        <v>257.93978314570103</v>
      </c>
      <c r="C71" s="23">
        <f t="shared" si="2"/>
        <v>129.9040838082413</v>
      </c>
      <c r="D71" s="23">
        <f t="shared" si="0"/>
        <v>128.03569933745973</v>
      </c>
      <c r="E71" s="31">
        <f t="shared" si="3"/>
        <v>34711.549005497342</v>
      </c>
    </row>
    <row r="72" spans="1:5" s="19" customFormat="1" x14ac:dyDescent="0.2">
      <c r="A72" s="22">
        <v>55</v>
      </c>
      <c r="B72" s="23">
        <f t="shared" si="1"/>
        <v>257.93978314570103</v>
      </c>
      <c r="C72" s="23">
        <f t="shared" si="2"/>
        <v>130.38145655657496</v>
      </c>
      <c r="D72" s="23">
        <f t="shared" si="0"/>
        <v>127.55832658912607</v>
      </c>
      <c r="E72" s="31">
        <f t="shared" si="3"/>
        <v>34581.167548940764</v>
      </c>
    </row>
    <row r="73" spans="1:5" s="19" customFormat="1" x14ac:dyDescent="0.2">
      <c r="A73" s="22">
        <v>56</v>
      </c>
      <c r="B73" s="23">
        <f t="shared" si="1"/>
        <v>257.93978314570103</v>
      </c>
      <c r="C73" s="23">
        <f t="shared" si="2"/>
        <v>130.86058355877171</v>
      </c>
      <c r="D73" s="23">
        <f t="shared" si="0"/>
        <v>127.07919958692932</v>
      </c>
      <c r="E73" s="31">
        <f t="shared" si="3"/>
        <v>34450.306965381991</v>
      </c>
    </row>
    <row r="74" spans="1:5" s="19" customFormat="1" x14ac:dyDescent="0.2">
      <c r="A74" s="22">
        <v>57</v>
      </c>
      <c r="B74" s="23">
        <f t="shared" si="1"/>
        <v>257.93978314570103</v>
      </c>
      <c r="C74" s="23">
        <f t="shared" si="2"/>
        <v>131.34147126138015</v>
      </c>
      <c r="D74" s="23">
        <f t="shared" si="0"/>
        <v>126.59831188432088</v>
      </c>
      <c r="E74" s="31">
        <f t="shared" si="3"/>
        <v>34318.96549412061</v>
      </c>
    </row>
    <row r="75" spans="1:5" s="19" customFormat="1" x14ac:dyDescent="0.2">
      <c r="A75" s="22">
        <v>58</v>
      </c>
      <c r="B75" s="23">
        <f t="shared" si="1"/>
        <v>257.93978314570103</v>
      </c>
      <c r="C75" s="23">
        <f t="shared" si="2"/>
        <v>131.82412613463868</v>
      </c>
      <c r="D75" s="23">
        <f t="shared" si="0"/>
        <v>126.11565701106235</v>
      </c>
      <c r="E75" s="31">
        <f t="shared" si="3"/>
        <v>34187.141367985969</v>
      </c>
    </row>
    <row r="76" spans="1:5" s="19" customFormat="1" x14ac:dyDescent="0.2">
      <c r="A76" s="22">
        <v>59</v>
      </c>
      <c r="B76" s="23">
        <f t="shared" si="1"/>
        <v>257.93978314570103</v>
      </c>
      <c r="C76" s="23">
        <f t="shared" si="2"/>
        <v>132.30855467256265</v>
      </c>
      <c r="D76" s="23">
        <f t="shared" si="0"/>
        <v>125.63122847313839</v>
      </c>
      <c r="E76" s="31">
        <f t="shared" si="3"/>
        <v>34054.832813313405</v>
      </c>
    </row>
    <row r="77" spans="1:5" s="19" customFormat="1" x14ac:dyDescent="0.2">
      <c r="A77" s="22">
        <v>60</v>
      </c>
      <c r="B77" s="23">
        <f t="shared" si="1"/>
        <v>257.93978314570103</v>
      </c>
      <c r="C77" s="23">
        <f t="shared" si="2"/>
        <v>132.79476339303159</v>
      </c>
      <c r="D77" s="23">
        <f t="shared" si="0"/>
        <v>125.14501975266946</v>
      </c>
      <c r="E77" s="31">
        <f t="shared" si="3"/>
        <v>33922.038049920375</v>
      </c>
    </row>
    <row r="78" spans="1:5" s="19" customFormat="1" x14ac:dyDescent="0.2">
      <c r="A78" s="22">
        <v>61</v>
      </c>
      <c r="B78" s="23">
        <f t="shared" si="1"/>
        <v>257.93978314570103</v>
      </c>
      <c r="C78" s="23">
        <f t="shared" si="2"/>
        <v>133.28275883787705</v>
      </c>
      <c r="D78" s="23">
        <f t="shared" si="0"/>
        <v>124.65702430782396</v>
      </c>
      <c r="E78" s="31">
        <f t="shared" si="3"/>
        <v>33788.755291082496</v>
      </c>
    </row>
    <row r="79" spans="1:5" s="19" customFormat="1" x14ac:dyDescent="0.2">
      <c r="A79" s="22">
        <v>62</v>
      </c>
      <c r="B79" s="23">
        <f t="shared" si="1"/>
        <v>257.93978314570103</v>
      </c>
      <c r="C79" s="23">
        <f t="shared" si="2"/>
        <v>133.77254757297067</v>
      </c>
      <c r="D79" s="23">
        <f t="shared" si="0"/>
        <v>124.16723557273036</v>
      </c>
      <c r="E79" s="31">
        <f t="shared" si="3"/>
        <v>33654.982743509529</v>
      </c>
    </row>
    <row r="80" spans="1:5" s="19" customFormat="1" x14ac:dyDescent="0.2">
      <c r="A80" s="22">
        <v>63</v>
      </c>
      <c r="B80" s="23">
        <f t="shared" si="1"/>
        <v>257.93978314570103</v>
      </c>
      <c r="C80" s="23">
        <f t="shared" si="2"/>
        <v>134.26413618831219</v>
      </c>
      <c r="D80" s="23">
        <f t="shared" si="0"/>
        <v>123.67564695738884</v>
      </c>
      <c r="E80" s="31">
        <f t="shared" si="3"/>
        <v>33520.718607321214</v>
      </c>
    </row>
    <row r="81" spans="1:5" s="19" customFormat="1" x14ac:dyDescent="0.2">
      <c r="A81" s="22">
        <v>64</v>
      </c>
      <c r="B81" s="23">
        <f t="shared" si="1"/>
        <v>257.93978314570103</v>
      </c>
      <c r="C81" s="23">
        <f t="shared" si="2"/>
        <v>134.75753129811855</v>
      </c>
      <c r="D81" s="23">
        <f t="shared" si="0"/>
        <v>123.18225184758248</v>
      </c>
      <c r="E81" s="31">
        <f t="shared" si="3"/>
        <v>33385.961076023093</v>
      </c>
    </row>
    <row r="82" spans="1:5" s="19" customFormat="1" x14ac:dyDescent="0.2">
      <c r="A82" s="22">
        <v>65</v>
      </c>
      <c r="B82" s="23">
        <f t="shared" si="1"/>
        <v>257.93978314570103</v>
      </c>
      <c r="C82" s="23">
        <f t="shared" si="2"/>
        <v>135.25273954091256</v>
      </c>
      <c r="D82" s="23">
        <f t="shared" ref="D82:D145" si="4">E81*B$7</f>
        <v>122.68704360478849</v>
      </c>
      <c r="E82" s="31">
        <f t="shared" si="3"/>
        <v>33250.708336482181</v>
      </c>
    </row>
    <row r="83" spans="1:5" s="19" customFormat="1" x14ac:dyDescent="0.2">
      <c r="A83" s="22">
        <v>66</v>
      </c>
      <c r="B83" s="23">
        <f t="shared" ref="B83:B146" si="5">B$9</f>
        <v>257.93978314570103</v>
      </c>
      <c r="C83" s="23">
        <f t="shared" ref="C83:C146" si="6">B83-D83</f>
        <v>135.74976757961232</v>
      </c>
      <c r="D83" s="23">
        <f t="shared" si="4"/>
        <v>122.1900155660887</v>
      </c>
      <c r="E83" s="31">
        <f t="shared" ref="E83:E146" si="7">E82-C83</f>
        <v>33114.95856890257</v>
      </c>
    </row>
    <row r="84" spans="1:5" s="19" customFormat="1" x14ac:dyDescent="0.2">
      <c r="A84" s="22">
        <v>67</v>
      </c>
      <c r="B84" s="23">
        <f t="shared" si="5"/>
        <v>257.93978314570103</v>
      </c>
      <c r="C84" s="23">
        <f t="shared" si="6"/>
        <v>136.24862210162098</v>
      </c>
      <c r="D84" s="23">
        <f t="shared" si="4"/>
        <v>121.69116104408003</v>
      </c>
      <c r="E84" s="31">
        <f t="shared" si="7"/>
        <v>32978.709946800947</v>
      </c>
    </row>
    <row r="85" spans="1:5" s="19" customFormat="1" x14ac:dyDescent="0.2">
      <c r="A85" s="22">
        <v>68</v>
      </c>
      <c r="B85" s="23">
        <f t="shared" si="5"/>
        <v>257.93978314570103</v>
      </c>
      <c r="C85" s="23">
        <f t="shared" si="6"/>
        <v>136.74930981891663</v>
      </c>
      <c r="D85" s="23">
        <f t="shared" si="4"/>
        <v>121.19047332678441</v>
      </c>
      <c r="E85" s="31">
        <f t="shared" si="7"/>
        <v>32841.960636982032</v>
      </c>
    </row>
    <row r="86" spans="1:5" s="19" customFormat="1" x14ac:dyDescent="0.2">
      <c r="A86" s="22">
        <v>69</v>
      </c>
      <c r="B86" s="23">
        <f t="shared" si="5"/>
        <v>257.93978314570103</v>
      </c>
      <c r="C86" s="23">
        <f t="shared" si="6"/>
        <v>137.25183746814241</v>
      </c>
      <c r="D86" s="23">
        <f t="shared" si="4"/>
        <v>120.68794567755862</v>
      </c>
      <c r="E86" s="31">
        <f t="shared" si="7"/>
        <v>32704.70879951389</v>
      </c>
    </row>
    <row r="87" spans="1:5" s="19" customFormat="1" x14ac:dyDescent="0.2">
      <c r="A87" s="22">
        <v>70</v>
      </c>
      <c r="B87" s="23">
        <f t="shared" si="5"/>
        <v>257.93978314570103</v>
      </c>
      <c r="C87" s="23">
        <f t="shared" si="6"/>
        <v>137.75621181069755</v>
      </c>
      <c r="D87" s="23">
        <f t="shared" si="4"/>
        <v>120.18357133500346</v>
      </c>
      <c r="E87" s="31">
        <f t="shared" si="7"/>
        <v>32566.952587703192</v>
      </c>
    </row>
    <row r="88" spans="1:5" s="19" customFormat="1" x14ac:dyDescent="0.2">
      <c r="A88" s="22">
        <v>71</v>
      </c>
      <c r="B88" s="23">
        <f t="shared" si="5"/>
        <v>257.93978314570103</v>
      </c>
      <c r="C88" s="23">
        <f t="shared" si="6"/>
        <v>138.26243963282809</v>
      </c>
      <c r="D88" s="23">
        <f t="shared" si="4"/>
        <v>119.67734351287294</v>
      </c>
      <c r="E88" s="31">
        <f t="shared" si="7"/>
        <v>32428.690148070364</v>
      </c>
    </row>
    <row r="89" spans="1:5" s="19" customFormat="1" x14ac:dyDescent="0.2">
      <c r="A89" s="22">
        <v>72</v>
      </c>
      <c r="B89" s="23">
        <f t="shared" si="5"/>
        <v>257.93978314570103</v>
      </c>
      <c r="C89" s="23">
        <f t="shared" si="6"/>
        <v>138.77052774571814</v>
      </c>
      <c r="D89" s="23">
        <f t="shared" si="4"/>
        <v>119.16925539998289</v>
      </c>
      <c r="E89" s="31">
        <f t="shared" si="7"/>
        <v>32289.919620324647</v>
      </c>
    </row>
    <row r="90" spans="1:5" s="19" customFormat="1" x14ac:dyDescent="0.2">
      <c r="A90" s="22">
        <v>73</v>
      </c>
      <c r="B90" s="23">
        <f t="shared" si="5"/>
        <v>257.93978314570103</v>
      </c>
      <c r="C90" s="23">
        <f t="shared" si="6"/>
        <v>139.28048298558167</v>
      </c>
      <c r="D90" s="23">
        <f t="shared" si="4"/>
        <v>118.65930016011934</v>
      </c>
      <c r="E90" s="31">
        <f t="shared" si="7"/>
        <v>32150.639137339065</v>
      </c>
    </row>
    <row r="91" spans="1:5" s="19" customFormat="1" x14ac:dyDescent="0.2">
      <c r="A91" s="22">
        <v>74</v>
      </c>
      <c r="B91" s="23">
        <f t="shared" si="5"/>
        <v>257.93978314570103</v>
      </c>
      <c r="C91" s="23">
        <f t="shared" si="6"/>
        <v>139.79231221375449</v>
      </c>
      <c r="D91" s="23">
        <f t="shared" si="4"/>
        <v>118.14747093194654</v>
      </c>
      <c r="E91" s="31">
        <f t="shared" si="7"/>
        <v>32010.846825125311</v>
      </c>
    </row>
    <row r="92" spans="1:5" s="19" customFormat="1" x14ac:dyDescent="0.2">
      <c r="A92" s="22">
        <v>75</v>
      </c>
      <c r="B92" s="23">
        <f t="shared" si="5"/>
        <v>257.93978314570103</v>
      </c>
      <c r="C92" s="23">
        <f t="shared" si="6"/>
        <v>140.3060223167864</v>
      </c>
      <c r="D92" s="23">
        <f t="shared" si="4"/>
        <v>117.63376082891463</v>
      </c>
      <c r="E92" s="31">
        <f t="shared" si="7"/>
        <v>31870.540802808526</v>
      </c>
    </row>
    <row r="93" spans="1:5" s="19" customFormat="1" x14ac:dyDescent="0.2">
      <c r="A93" s="22">
        <v>76</v>
      </c>
      <c r="B93" s="23">
        <f t="shared" si="5"/>
        <v>257.93978314570103</v>
      </c>
      <c r="C93" s="23">
        <f t="shared" si="6"/>
        <v>140.82162020653402</v>
      </c>
      <c r="D93" s="23">
        <f t="shared" si="4"/>
        <v>117.11816293916701</v>
      </c>
      <c r="E93" s="31">
        <f t="shared" si="7"/>
        <v>31729.719182601992</v>
      </c>
    </row>
    <row r="94" spans="1:5" s="19" customFormat="1" x14ac:dyDescent="0.2">
      <c r="A94" s="22">
        <v>77</v>
      </c>
      <c r="B94" s="23">
        <f t="shared" si="5"/>
        <v>257.93978314570103</v>
      </c>
      <c r="C94" s="23">
        <f t="shared" si="6"/>
        <v>141.33911282025375</v>
      </c>
      <c r="D94" s="23">
        <f t="shared" si="4"/>
        <v>116.60067032544728</v>
      </c>
      <c r="E94" s="31">
        <f t="shared" si="7"/>
        <v>31588.380069781739</v>
      </c>
    </row>
    <row r="95" spans="1:5" s="19" customFormat="1" x14ac:dyDescent="0.2">
      <c r="A95" s="22">
        <v>78</v>
      </c>
      <c r="B95" s="23">
        <f t="shared" si="5"/>
        <v>257.93978314570103</v>
      </c>
      <c r="C95" s="23">
        <f t="shared" si="6"/>
        <v>141.85850712069501</v>
      </c>
      <c r="D95" s="23">
        <f t="shared" si="4"/>
        <v>116.08127602500602</v>
      </c>
      <c r="E95" s="31">
        <f t="shared" si="7"/>
        <v>31446.521562661044</v>
      </c>
    </row>
    <row r="96" spans="1:5" s="19" customFormat="1" x14ac:dyDescent="0.2">
      <c r="A96" s="22">
        <v>79</v>
      </c>
      <c r="B96" s="23">
        <f t="shared" si="5"/>
        <v>257.93978314570103</v>
      </c>
      <c r="C96" s="23">
        <f t="shared" si="6"/>
        <v>142.37981009619409</v>
      </c>
      <c r="D96" s="23">
        <f t="shared" si="4"/>
        <v>115.55997304950695</v>
      </c>
      <c r="E96" s="31">
        <f t="shared" si="7"/>
        <v>31304.14175256485</v>
      </c>
    </row>
    <row r="97" spans="1:5" s="19" customFormat="1" x14ac:dyDescent="0.2">
      <c r="A97" s="22">
        <v>80</v>
      </c>
      <c r="B97" s="23">
        <f t="shared" si="5"/>
        <v>257.93978314570103</v>
      </c>
      <c r="C97" s="23">
        <f t="shared" si="6"/>
        <v>142.903028760768</v>
      </c>
      <c r="D97" s="23">
        <f t="shared" si="4"/>
        <v>115.03675438493305</v>
      </c>
      <c r="E97" s="31">
        <f t="shared" si="7"/>
        <v>31161.238723804083</v>
      </c>
    </row>
    <row r="98" spans="1:5" s="19" customFormat="1" x14ac:dyDescent="0.2">
      <c r="A98" s="22">
        <v>81</v>
      </c>
      <c r="B98" s="23">
        <f t="shared" si="5"/>
        <v>257.93978314570103</v>
      </c>
      <c r="C98" s="23">
        <f t="shared" si="6"/>
        <v>143.42817015420894</v>
      </c>
      <c r="D98" s="23">
        <f t="shared" si="4"/>
        <v>114.51161299149209</v>
      </c>
      <c r="E98" s="31">
        <f t="shared" si="7"/>
        <v>31017.810553649873</v>
      </c>
    </row>
    <row r="99" spans="1:5" s="19" customFormat="1" x14ac:dyDescent="0.2">
      <c r="A99" s="22">
        <v>82</v>
      </c>
      <c r="B99" s="23">
        <f t="shared" si="5"/>
        <v>257.93978314570103</v>
      </c>
      <c r="C99" s="23">
        <f t="shared" si="6"/>
        <v>143.95524134217908</v>
      </c>
      <c r="D99" s="23">
        <f t="shared" si="4"/>
        <v>113.98454180352194</v>
      </c>
      <c r="E99" s="31">
        <f t="shared" si="7"/>
        <v>30873.855312307693</v>
      </c>
    </row>
    <row r="100" spans="1:5" s="19" customFormat="1" x14ac:dyDescent="0.2">
      <c r="A100" s="22">
        <v>83</v>
      </c>
      <c r="B100" s="23">
        <f t="shared" si="5"/>
        <v>257.93978314570103</v>
      </c>
      <c r="C100" s="23">
        <f t="shared" si="6"/>
        <v>144.48424941630549</v>
      </c>
      <c r="D100" s="23">
        <f t="shared" si="4"/>
        <v>113.45553372939553</v>
      </c>
      <c r="E100" s="31">
        <f t="shared" si="7"/>
        <v>30729.371062891387</v>
      </c>
    </row>
    <row r="101" spans="1:5" s="19" customFormat="1" x14ac:dyDescent="0.2">
      <c r="A101" s="22">
        <v>84</v>
      </c>
      <c r="B101" s="23">
        <f t="shared" si="5"/>
        <v>257.93978314570103</v>
      </c>
      <c r="C101" s="23">
        <f t="shared" si="6"/>
        <v>145.0152014942756</v>
      </c>
      <c r="D101" s="23">
        <f t="shared" si="4"/>
        <v>112.92458165142543</v>
      </c>
      <c r="E101" s="31">
        <f t="shared" si="7"/>
        <v>30584.355861397111</v>
      </c>
    </row>
    <row r="102" spans="1:5" s="19" customFormat="1" x14ac:dyDescent="0.2">
      <c r="A102" s="22">
        <v>85</v>
      </c>
      <c r="B102" s="23">
        <f t="shared" si="5"/>
        <v>257.93978314570103</v>
      </c>
      <c r="C102" s="23">
        <f t="shared" si="6"/>
        <v>145.54810471993301</v>
      </c>
      <c r="D102" s="23">
        <f t="shared" si="4"/>
        <v>112.39167842576802</v>
      </c>
      <c r="E102" s="31">
        <f t="shared" si="7"/>
        <v>30438.807756677179</v>
      </c>
    </row>
    <row r="103" spans="1:5" s="19" customFormat="1" x14ac:dyDescent="0.2">
      <c r="A103" s="22">
        <v>86</v>
      </c>
      <c r="B103" s="23">
        <f t="shared" si="5"/>
        <v>257.93978314570103</v>
      </c>
      <c r="C103" s="23">
        <f t="shared" si="6"/>
        <v>146.08296626337358</v>
      </c>
      <c r="D103" s="23">
        <f t="shared" si="4"/>
        <v>111.85681688232745</v>
      </c>
      <c r="E103" s="31">
        <f t="shared" si="7"/>
        <v>30292.724790413806</v>
      </c>
    </row>
    <row r="104" spans="1:5" s="19" customFormat="1" x14ac:dyDescent="0.2">
      <c r="A104" s="22">
        <v>87</v>
      </c>
      <c r="B104" s="23">
        <f t="shared" si="5"/>
        <v>257.93978314570103</v>
      </c>
      <c r="C104" s="23">
        <f t="shared" si="6"/>
        <v>146.61979332104193</v>
      </c>
      <c r="D104" s="23">
        <f t="shared" si="4"/>
        <v>111.3199898246591</v>
      </c>
      <c r="E104" s="31">
        <f t="shared" si="7"/>
        <v>30146.104997092763</v>
      </c>
    </row>
    <row r="105" spans="1:5" s="19" customFormat="1" x14ac:dyDescent="0.2">
      <c r="A105" s="22">
        <v>88</v>
      </c>
      <c r="B105" s="23">
        <f t="shared" si="5"/>
        <v>257.93978314570103</v>
      </c>
      <c r="C105" s="23">
        <f t="shared" si="6"/>
        <v>147.15859311582818</v>
      </c>
      <c r="D105" s="23">
        <f t="shared" si="4"/>
        <v>110.78119002987283</v>
      </c>
      <c r="E105" s="31">
        <f t="shared" si="7"/>
        <v>29998.946403976934</v>
      </c>
    </row>
    <row r="106" spans="1:5" s="19" customFormat="1" x14ac:dyDescent="0.2">
      <c r="A106" s="22">
        <v>89</v>
      </c>
      <c r="B106" s="23">
        <f t="shared" si="5"/>
        <v>257.93978314570103</v>
      </c>
      <c r="C106" s="23">
        <f t="shared" si="6"/>
        <v>147.69937289716532</v>
      </c>
      <c r="D106" s="23">
        <f t="shared" si="4"/>
        <v>110.24041024853571</v>
      </c>
      <c r="E106" s="31">
        <f t="shared" si="7"/>
        <v>29851.247031079769</v>
      </c>
    </row>
    <row r="107" spans="1:5" s="19" customFormat="1" x14ac:dyDescent="0.2">
      <c r="A107" s="22">
        <v>90</v>
      </c>
      <c r="B107" s="23">
        <f t="shared" si="5"/>
        <v>257.93978314570103</v>
      </c>
      <c r="C107" s="23">
        <f t="shared" si="6"/>
        <v>148.24213994112642</v>
      </c>
      <c r="D107" s="23">
        <f t="shared" si="4"/>
        <v>109.69764320457459</v>
      </c>
      <c r="E107" s="31">
        <f t="shared" si="7"/>
        <v>29703.004891138644</v>
      </c>
    </row>
    <row r="108" spans="1:5" s="19" customFormat="1" x14ac:dyDescent="0.2">
      <c r="A108" s="22">
        <v>91</v>
      </c>
      <c r="B108" s="23">
        <f t="shared" si="5"/>
        <v>257.93978314570103</v>
      </c>
      <c r="C108" s="23">
        <f t="shared" si="6"/>
        <v>148.78690155052294</v>
      </c>
      <c r="D108" s="23">
        <f t="shared" si="4"/>
        <v>109.15288159517807</v>
      </c>
      <c r="E108" s="31">
        <f t="shared" si="7"/>
        <v>29554.21798958812</v>
      </c>
    </row>
    <row r="109" spans="1:5" s="19" customFormat="1" x14ac:dyDescent="0.2">
      <c r="A109" s="22">
        <v>92</v>
      </c>
      <c r="B109" s="23">
        <f t="shared" si="5"/>
        <v>257.93978314570103</v>
      </c>
      <c r="C109" s="23">
        <f t="shared" si="6"/>
        <v>149.33366505500271</v>
      </c>
      <c r="D109" s="23">
        <f t="shared" si="4"/>
        <v>108.60611809069833</v>
      </c>
      <c r="E109" s="31">
        <f t="shared" si="7"/>
        <v>29404.884324533115</v>
      </c>
    </row>
    <row r="110" spans="1:5" s="19" customFormat="1" x14ac:dyDescent="0.2">
      <c r="A110" s="22">
        <v>93</v>
      </c>
      <c r="B110" s="23">
        <f t="shared" si="5"/>
        <v>257.93978314570103</v>
      </c>
      <c r="C110" s="23">
        <f t="shared" si="6"/>
        <v>149.88243781114852</v>
      </c>
      <c r="D110" s="23">
        <f t="shared" si="4"/>
        <v>108.05734533455251</v>
      </c>
      <c r="E110" s="31">
        <f t="shared" si="7"/>
        <v>29255.001886721966</v>
      </c>
    </row>
    <row r="111" spans="1:5" s="19" customFormat="1" x14ac:dyDescent="0.2">
      <c r="A111" s="22">
        <v>94</v>
      </c>
      <c r="B111" s="23">
        <f t="shared" si="5"/>
        <v>257.93978314570103</v>
      </c>
      <c r="C111" s="23">
        <f t="shared" si="6"/>
        <v>150.43322720257731</v>
      </c>
      <c r="D111" s="23">
        <f t="shared" si="4"/>
        <v>107.5065559431237</v>
      </c>
      <c r="E111" s="31">
        <f t="shared" si="7"/>
        <v>29104.568659519387</v>
      </c>
    </row>
    <row r="112" spans="1:5" s="19" customFormat="1" x14ac:dyDescent="0.2">
      <c r="A112" s="22">
        <v>95</v>
      </c>
      <c r="B112" s="23">
        <f t="shared" si="5"/>
        <v>257.93978314570103</v>
      </c>
      <c r="C112" s="23">
        <f t="shared" si="6"/>
        <v>150.98604064003939</v>
      </c>
      <c r="D112" s="23">
        <f t="shared" si="4"/>
        <v>106.95374250566162</v>
      </c>
      <c r="E112" s="31">
        <f t="shared" si="7"/>
        <v>28953.582618879347</v>
      </c>
    </row>
    <row r="113" spans="1:5" s="19" customFormat="1" x14ac:dyDescent="0.2">
      <c r="A113" s="22">
        <v>96</v>
      </c>
      <c r="B113" s="23">
        <f t="shared" si="5"/>
        <v>257.93978314570103</v>
      </c>
      <c r="C113" s="23">
        <f t="shared" si="6"/>
        <v>151.54088556151817</v>
      </c>
      <c r="D113" s="23">
        <f t="shared" si="4"/>
        <v>106.39889758418286</v>
      </c>
      <c r="E113" s="31">
        <f t="shared" si="7"/>
        <v>28802.04173331783</v>
      </c>
    </row>
    <row r="114" spans="1:5" s="19" customFormat="1" x14ac:dyDescent="0.2">
      <c r="A114" s="22">
        <v>97</v>
      </c>
      <c r="B114" s="23">
        <f t="shared" si="5"/>
        <v>257.93978314570103</v>
      </c>
      <c r="C114" s="23">
        <f t="shared" si="6"/>
        <v>152.09776943233015</v>
      </c>
      <c r="D114" s="23">
        <f t="shared" si="4"/>
        <v>105.84201371337087</v>
      </c>
      <c r="E114" s="31">
        <f t="shared" si="7"/>
        <v>28649.9439638855</v>
      </c>
    </row>
    <row r="115" spans="1:5" s="19" customFormat="1" x14ac:dyDescent="0.2">
      <c r="A115" s="22">
        <v>98</v>
      </c>
      <c r="B115" s="23">
        <f t="shared" si="5"/>
        <v>257.93978314570103</v>
      </c>
      <c r="C115" s="23">
        <f t="shared" si="6"/>
        <v>152.65669974522558</v>
      </c>
      <c r="D115" s="23">
        <f t="shared" si="4"/>
        <v>105.28308340047546</v>
      </c>
      <c r="E115" s="31">
        <f t="shared" si="7"/>
        <v>28497.287264140276</v>
      </c>
    </row>
    <row r="116" spans="1:5" s="19" customFormat="1" x14ac:dyDescent="0.2">
      <c r="A116" s="22">
        <v>99</v>
      </c>
      <c r="B116" s="23">
        <f t="shared" si="5"/>
        <v>257.93978314570103</v>
      </c>
      <c r="C116" s="23">
        <f t="shared" si="6"/>
        <v>153.21768402048897</v>
      </c>
      <c r="D116" s="23">
        <f t="shared" si="4"/>
        <v>104.72209912521205</v>
      </c>
      <c r="E116" s="31">
        <f t="shared" si="7"/>
        <v>28344.069580119787</v>
      </c>
    </row>
    <row r="117" spans="1:5" s="19" customFormat="1" x14ac:dyDescent="0.2">
      <c r="A117" s="22">
        <v>100</v>
      </c>
      <c r="B117" s="23">
        <f t="shared" si="5"/>
        <v>257.93978314570103</v>
      </c>
      <c r="C117" s="23">
        <f t="shared" si="6"/>
        <v>153.78072980604065</v>
      </c>
      <c r="D117" s="23">
        <f t="shared" si="4"/>
        <v>104.15905333966039</v>
      </c>
      <c r="E117" s="31">
        <f t="shared" si="7"/>
        <v>28190.288850313747</v>
      </c>
    </row>
    <row r="118" spans="1:5" s="19" customFormat="1" x14ac:dyDescent="0.2">
      <c r="A118" s="22">
        <v>101</v>
      </c>
      <c r="B118" s="23">
        <f t="shared" si="5"/>
        <v>257.93978314570103</v>
      </c>
      <c r="C118" s="23">
        <f t="shared" si="6"/>
        <v>154.34584467753791</v>
      </c>
      <c r="D118" s="23">
        <f t="shared" si="4"/>
        <v>103.59393846816312</v>
      </c>
      <c r="E118" s="31">
        <f t="shared" si="7"/>
        <v>28035.943005636211</v>
      </c>
    </row>
    <row r="119" spans="1:5" s="19" customFormat="1" x14ac:dyDescent="0.2">
      <c r="A119" s="22">
        <v>102</v>
      </c>
      <c r="B119" s="23">
        <f t="shared" si="5"/>
        <v>257.93978314570103</v>
      </c>
      <c r="C119" s="23">
        <f t="shared" si="6"/>
        <v>154.91303623847728</v>
      </c>
      <c r="D119" s="23">
        <f t="shared" si="4"/>
        <v>103.02674690722374</v>
      </c>
      <c r="E119" s="31">
        <f t="shared" si="7"/>
        <v>27881.029969397732</v>
      </c>
    </row>
    <row r="120" spans="1:5" s="19" customFormat="1" x14ac:dyDescent="0.2">
      <c r="A120" s="22">
        <v>103</v>
      </c>
      <c r="B120" s="23">
        <f t="shared" si="5"/>
        <v>257.93978314570103</v>
      </c>
      <c r="C120" s="23">
        <f t="shared" si="6"/>
        <v>155.48231212029665</v>
      </c>
      <c r="D120" s="23">
        <f t="shared" si="4"/>
        <v>102.45747102540437</v>
      </c>
      <c r="E120" s="31">
        <f t="shared" si="7"/>
        <v>27725.547657277435</v>
      </c>
    </row>
    <row r="121" spans="1:5" s="19" customFormat="1" x14ac:dyDescent="0.2">
      <c r="A121" s="22">
        <v>104</v>
      </c>
      <c r="B121" s="23">
        <f t="shared" si="5"/>
        <v>257.93978314570103</v>
      </c>
      <c r="C121" s="23">
        <f t="shared" si="6"/>
        <v>156.053679982478</v>
      </c>
      <c r="D121" s="23">
        <f t="shared" si="4"/>
        <v>101.88610316322304</v>
      </c>
      <c r="E121" s="31">
        <f t="shared" si="7"/>
        <v>27569.493977294958</v>
      </c>
    </row>
    <row r="122" spans="1:5" s="19" customFormat="1" x14ac:dyDescent="0.2">
      <c r="A122" s="22">
        <v>105</v>
      </c>
      <c r="B122" s="23">
        <f t="shared" si="5"/>
        <v>257.93978314570103</v>
      </c>
      <c r="C122" s="23">
        <f t="shared" si="6"/>
        <v>156.62714751265037</v>
      </c>
      <c r="D122" s="23">
        <f t="shared" si="4"/>
        <v>101.31263563305068</v>
      </c>
      <c r="E122" s="31">
        <f t="shared" si="7"/>
        <v>27412.86682978231</v>
      </c>
    </row>
    <row r="123" spans="1:5" s="19" customFormat="1" x14ac:dyDescent="0.2">
      <c r="A123" s="22">
        <v>106</v>
      </c>
      <c r="B123" s="23">
        <f t="shared" si="5"/>
        <v>257.93978314570103</v>
      </c>
      <c r="C123" s="23">
        <f t="shared" si="6"/>
        <v>157.20272242669344</v>
      </c>
      <c r="D123" s="23">
        <f t="shared" si="4"/>
        <v>100.73706071900759</v>
      </c>
      <c r="E123" s="31">
        <f t="shared" si="7"/>
        <v>27255.664107355617</v>
      </c>
    </row>
    <row r="124" spans="1:5" s="19" customFormat="1" x14ac:dyDescent="0.2">
      <c r="A124" s="22">
        <v>107</v>
      </c>
      <c r="B124" s="23">
        <f t="shared" si="5"/>
        <v>257.93978314570103</v>
      </c>
      <c r="C124" s="23">
        <f t="shared" si="6"/>
        <v>157.78041246884132</v>
      </c>
      <c r="D124" s="23">
        <f t="shared" si="4"/>
        <v>100.15937067685971</v>
      </c>
      <c r="E124" s="31">
        <f t="shared" si="7"/>
        <v>27097.883694886776</v>
      </c>
    </row>
    <row r="125" spans="1:5" s="19" customFormat="1" x14ac:dyDescent="0.2">
      <c r="A125" s="22">
        <v>108</v>
      </c>
      <c r="B125" s="23">
        <f t="shared" si="5"/>
        <v>257.93978314570103</v>
      </c>
      <c r="C125" s="23">
        <f t="shared" si="6"/>
        <v>158.36022541178664</v>
      </c>
      <c r="D125" s="23">
        <f t="shared" si="4"/>
        <v>99.579557733914399</v>
      </c>
      <c r="E125" s="31">
        <f t="shared" si="7"/>
        <v>26939.523469474989</v>
      </c>
    </row>
    <row r="126" spans="1:5" s="19" customFormat="1" x14ac:dyDescent="0.2">
      <c r="A126" s="22">
        <v>109</v>
      </c>
      <c r="B126" s="23">
        <f t="shared" si="5"/>
        <v>257.93978314570103</v>
      </c>
      <c r="C126" s="23">
        <f t="shared" si="6"/>
        <v>158.94216905678516</v>
      </c>
      <c r="D126" s="23">
        <f t="shared" si="4"/>
        <v>98.997614088915867</v>
      </c>
      <c r="E126" s="31">
        <f t="shared" si="7"/>
        <v>26780.581300418202</v>
      </c>
    </row>
    <row r="127" spans="1:5" s="19" customFormat="1" x14ac:dyDescent="0.2">
      <c r="A127" s="22">
        <v>110</v>
      </c>
      <c r="B127" s="23">
        <f t="shared" si="5"/>
        <v>257.93978314570103</v>
      </c>
      <c r="C127" s="23">
        <f t="shared" si="6"/>
        <v>159.52625123376086</v>
      </c>
      <c r="D127" s="23">
        <f t="shared" si="4"/>
        <v>98.413531911940169</v>
      </c>
      <c r="E127" s="31">
        <f t="shared" si="7"/>
        <v>26621.055049184441</v>
      </c>
    </row>
    <row r="128" spans="1:5" s="19" customFormat="1" x14ac:dyDescent="0.2">
      <c r="A128" s="22">
        <v>111</v>
      </c>
      <c r="B128" s="23">
        <f t="shared" si="5"/>
        <v>257.93978314570103</v>
      </c>
      <c r="C128" s="23">
        <f t="shared" si="6"/>
        <v>160.11247980141115</v>
      </c>
      <c r="D128" s="23">
        <f t="shared" si="4"/>
        <v>97.827303344289888</v>
      </c>
      <c r="E128" s="31">
        <f t="shared" si="7"/>
        <v>26460.942569383031</v>
      </c>
    </row>
    <row r="129" spans="1:5" s="19" customFormat="1" x14ac:dyDescent="0.2">
      <c r="A129" s="22">
        <v>112</v>
      </c>
      <c r="B129" s="23">
        <f t="shared" si="5"/>
        <v>257.93978314570103</v>
      </c>
      <c r="C129" s="23">
        <f t="shared" si="6"/>
        <v>160.70086264731262</v>
      </c>
      <c r="D129" s="23">
        <f t="shared" si="4"/>
        <v>97.23892049838841</v>
      </c>
      <c r="E129" s="31">
        <f t="shared" si="7"/>
        <v>26300.241706735716</v>
      </c>
    </row>
    <row r="130" spans="1:5" s="19" customFormat="1" x14ac:dyDescent="0.2">
      <c r="A130" s="22">
        <v>113</v>
      </c>
      <c r="B130" s="23">
        <f t="shared" si="5"/>
        <v>257.93978314570103</v>
      </c>
      <c r="C130" s="23">
        <f t="shared" si="6"/>
        <v>161.29140768802728</v>
      </c>
      <c r="D130" s="23">
        <f t="shared" si="4"/>
        <v>96.648375457673751</v>
      </c>
      <c r="E130" s="31">
        <f t="shared" si="7"/>
        <v>26138.95029904769</v>
      </c>
    </row>
    <row r="131" spans="1:5" s="19" customFormat="1" x14ac:dyDescent="0.2">
      <c r="A131" s="22">
        <v>114</v>
      </c>
      <c r="B131" s="23">
        <f t="shared" si="5"/>
        <v>257.93978314570103</v>
      </c>
      <c r="C131" s="23">
        <f t="shared" si="6"/>
        <v>161.88412286920891</v>
      </c>
      <c r="D131" s="23">
        <f t="shared" si="4"/>
        <v>96.055660276492105</v>
      </c>
      <c r="E131" s="31">
        <f t="shared" si="7"/>
        <v>25977.066176178483</v>
      </c>
    </row>
    <row r="132" spans="1:5" s="19" customFormat="1" x14ac:dyDescent="0.2">
      <c r="A132" s="22">
        <v>115</v>
      </c>
      <c r="B132" s="23">
        <f t="shared" si="5"/>
        <v>257.93978314570103</v>
      </c>
      <c r="C132" s="23">
        <f t="shared" si="6"/>
        <v>162.47901616571016</v>
      </c>
      <c r="D132" s="23">
        <f t="shared" si="4"/>
        <v>95.460766979990865</v>
      </c>
      <c r="E132" s="31">
        <f t="shared" si="7"/>
        <v>25814.587160012772</v>
      </c>
    </row>
    <row r="133" spans="1:5" s="19" customFormat="1" x14ac:dyDescent="0.2">
      <c r="A133" s="22">
        <v>116</v>
      </c>
      <c r="B133" s="23">
        <f t="shared" si="5"/>
        <v>257.93978314570103</v>
      </c>
      <c r="C133" s="23">
        <f t="shared" si="6"/>
        <v>163.07609558168963</v>
      </c>
      <c r="D133" s="23">
        <f t="shared" si="4"/>
        <v>94.863687564011386</v>
      </c>
      <c r="E133" s="31">
        <f t="shared" si="7"/>
        <v>25651.511064431081</v>
      </c>
    </row>
    <row r="134" spans="1:5" s="19" customFormat="1" x14ac:dyDescent="0.2">
      <c r="A134" s="22">
        <v>117</v>
      </c>
      <c r="B134" s="23">
        <f t="shared" si="5"/>
        <v>257.93978314570103</v>
      </c>
      <c r="C134" s="23">
        <f t="shared" si="6"/>
        <v>163.6753691507198</v>
      </c>
      <c r="D134" s="23">
        <f t="shared" si="4"/>
        <v>94.26441399498124</v>
      </c>
      <c r="E134" s="31">
        <f t="shared" si="7"/>
        <v>25487.835695280362</v>
      </c>
    </row>
    <row r="135" spans="1:5" s="19" customFormat="1" x14ac:dyDescent="0.2">
      <c r="A135" s="22">
        <v>118</v>
      </c>
      <c r="B135" s="23">
        <f t="shared" si="5"/>
        <v>257.93978314570103</v>
      </c>
      <c r="C135" s="23">
        <f t="shared" si="6"/>
        <v>164.27684493589481</v>
      </c>
      <c r="D135" s="23">
        <f t="shared" si="4"/>
        <v>93.662938209806214</v>
      </c>
      <c r="E135" s="31">
        <f t="shared" si="7"/>
        <v>25323.558850344467</v>
      </c>
    </row>
    <row r="136" spans="1:5" s="19" customFormat="1" x14ac:dyDescent="0.2">
      <c r="A136" s="22">
        <v>119</v>
      </c>
      <c r="B136" s="23">
        <f t="shared" si="5"/>
        <v>257.93978314570103</v>
      </c>
      <c r="C136" s="23">
        <f t="shared" si="6"/>
        <v>164.88053102993933</v>
      </c>
      <c r="D136" s="23">
        <f t="shared" si="4"/>
        <v>93.05925211576168</v>
      </c>
      <c r="E136" s="31">
        <f t="shared" si="7"/>
        <v>25158.678319314527</v>
      </c>
    </row>
    <row r="137" spans="1:5" s="19" customFormat="1" x14ac:dyDescent="0.2">
      <c r="A137" s="22">
        <v>120</v>
      </c>
      <c r="B137" s="23">
        <f t="shared" si="5"/>
        <v>257.93978314570103</v>
      </c>
      <c r="C137" s="23">
        <f t="shared" si="6"/>
        <v>165.4864355553172</v>
      </c>
      <c r="D137" s="23">
        <f t="shared" si="4"/>
        <v>92.453347590383828</v>
      </c>
      <c r="E137" s="31">
        <f t="shared" si="7"/>
        <v>24993.191883759209</v>
      </c>
    </row>
    <row r="138" spans="1:5" s="19" customFormat="1" x14ac:dyDescent="0.2">
      <c r="A138" s="22">
        <v>121</v>
      </c>
      <c r="B138" s="23">
        <f t="shared" si="5"/>
        <v>257.93978314570103</v>
      </c>
      <c r="C138" s="23">
        <f t="shared" si="6"/>
        <v>166.09456666434068</v>
      </c>
      <c r="D138" s="23">
        <f t="shared" si="4"/>
        <v>91.845216481360367</v>
      </c>
      <c r="E138" s="31">
        <f t="shared" si="7"/>
        <v>24827.097317094867</v>
      </c>
    </row>
    <row r="139" spans="1:5" s="19" customFormat="1" x14ac:dyDescent="0.2">
      <c r="A139" s="22">
        <v>122</v>
      </c>
      <c r="B139" s="23">
        <f t="shared" si="5"/>
        <v>257.93978314570103</v>
      </c>
      <c r="C139" s="23">
        <f t="shared" si="6"/>
        <v>166.70493253928026</v>
      </c>
      <c r="D139" s="23">
        <f t="shared" si="4"/>
        <v>91.23485060642075</v>
      </c>
      <c r="E139" s="31">
        <f t="shared" si="7"/>
        <v>24660.392384555587</v>
      </c>
    </row>
    <row r="140" spans="1:5" s="19" customFormat="1" x14ac:dyDescent="0.2">
      <c r="A140" s="22">
        <v>123</v>
      </c>
      <c r="B140" s="23">
        <f t="shared" si="5"/>
        <v>257.93978314570103</v>
      </c>
      <c r="C140" s="23">
        <f t="shared" si="6"/>
        <v>167.31754139247482</v>
      </c>
      <c r="D140" s="23">
        <f t="shared" si="4"/>
        <v>90.62224175322622</v>
      </c>
      <c r="E140" s="31">
        <f t="shared" si="7"/>
        <v>24493.074843163111</v>
      </c>
    </row>
    <row r="141" spans="1:5" s="19" customFormat="1" x14ac:dyDescent="0.2">
      <c r="A141" s="22">
        <v>124</v>
      </c>
      <c r="B141" s="23">
        <f t="shared" si="5"/>
        <v>257.93978314570103</v>
      </c>
      <c r="C141" s="23">
        <f t="shared" si="6"/>
        <v>167.93240146644189</v>
      </c>
      <c r="D141" s="23">
        <f t="shared" si="4"/>
        <v>90.007381679259154</v>
      </c>
      <c r="E141" s="31">
        <f t="shared" si="7"/>
        <v>24325.142441696669</v>
      </c>
    </row>
    <row r="142" spans="1:5" s="19" customFormat="1" x14ac:dyDescent="0.2">
      <c r="A142" s="22">
        <v>125</v>
      </c>
      <c r="B142" s="23">
        <f t="shared" si="5"/>
        <v>257.93978314570103</v>
      </c>
      <c r="C142" s="23">
        <f t="shared" si="6"/>
        <v>168.5495210339887</v>
      </c>
      <c r="D142" s="23">
        <f t="shared" si="4"/>
        <v>89.390262111712346</v>
      </c>
      <c r="E142" s="31">
        <f t="shared" si="7"/>
        <v>24156.592920662679</v>
      </c>
    </row>
    <row r="143" spans="1:5" s="19" customFormat="1" x14ac:dyDescent="0.2">
      <c r="A143" s="22">
        <v>126</v>
      </c>
      <c r="B143" s="23">
        <f t="shared" si="5"/>
        <v>257.93978314570103</v>
      </c>
      <c r="C143" s="23">
        <f t="shared" si="6"/>
        <v>169.16890839832354</v>
      </c>
      <c r="D143" s="23">
        <f t="shared" si="4"/>
        <v>88.770874747377505</v>
      </c>
      <c r="E143" s="31">
        <f t="shared" si="7"/>
        <v>23987.424012264357</v>
      </c>
    </row>
    <row r="144" spans="1:5" s="19" customFormat="1" x14ac:dyDescent="0.2">
      <c r="A144" s="22">
        <v>127</v>
      </c>
      <c r="B144" s="23">
        <f t="shared" si="5"/>
        <v>257.93978314570103</v>
      </c>
      <c r="C144" s="23">
        <f t="shared" si="6"/>
        <v>169.79057189316731</v>
      </c>
      <c r="D144" s="23">
        <f t="shared" si="4"/>
        <v>88.149211252533718</v>
      </c>
      <c r="E144" s="31">
        <f t="shared" si="7"/>
        <v>23817.633440371188</v>
      </c>
    </row>
    <row r="145" spans="1:5" s="19" customFormat="1" x14ac:dyDescent="0.2">
      <c r="A145" s="22">
        <v>128</v>
      </c>
      <c r="B145" s="23">
        <f t="shared" si="5"/>
        <v>257.93978314570103</v>
      </c>
      <c r="C145" s="23">
        <f t="shared" si="6"/>
        <v>170.41451988286587</v>
      </c>
      <c r="D145" s="23">
        <f t="shared" si="4"/>
        <v>87.525263262835153</v>
      </c>
      <c r="E145" s="31">
        <f t="shared" si="7"/>
        <v>23647.218920488322</v>
      </c>
    </row>
    <row r="146" spans="1:5" s="19" customFormat="1" x14ac:dyDescent="0.2">
      <c r="A146" s="22">
        <v>129</v>
      </c>
      <c r="B146" s="23">
        <f t="shared" si="5"/>
        <v>257.93978314570103</v>
      </c>
      <c r="C146" s="23">
        <f t="shared" si="6"/>
        <v>171.04076076250237</v>
      </c>
      <c r="D146" s="23">
        <f t="shared" ref="D146:D209" si="8">E145*B$7</f>
        <v>86.899022383198655</v>
      </c>
      <c r="E146" s="31">
        <f t="shared" si="7"/>
        <v>23476.17815972582</v>
      </c>
    </row>
    <row r="147" spans="1:5" s="19" customFormat="1" x14ac:dyDescent="0.2">
      <c r="A147" s="22">
        <v>130</v>
      </c>
      <c r="B147" s="23">
        <f t="shared" ref="B147:B210" si="9">B$9</f>
        <v>257.93978314570103</v>
      </c>
      <c r="C147" s="23">
        <f t="shared" ref="C147:C210" si="10">B147-D147</f>
        <v>171.66930295801029</v>
      </c>
      <c r="D147" s="23">
        <f t="shared" si="8"/>
        <v>86.270480187690751</v>
      </c>
      <c r="E147" s="31">
        <f t="shared" ref="E147:E210" si="11">E146-C147</f>
        <v>23304.50885676781</v>
      </c>
    </row>
    <row r="148" spans="1:5" s="19" customFormat="1" x14ac:dyDescent="0.2">
      <c r="A148" s="22">
        <v>131</v>
      </c>
      <c r="B148" s="23">
        <f t="shared" si="9"/>
        <v>257.93978314570103</v>
      </c>
      <c r="C148" s="23">
        <f t="shared" si="10"/>
        <v>172.30015492628684</v>
      </c>
      <c r="D148" s="23">
        <f t="shared" si="8"/>
        <v>85.639628219414206</v>
      </c>
      <c r="E148" s="31">
        <f t="shared" si="11"/>
        <v>23132.208701841522</v>
      </c>
    </row>
    <row r="149" spans="1:5" s="19" customFormat="1" x14ac:dyDescent="0.2">
      <c r="A149" s="22">
        <v>132</v>
      </c>
      <c r="B149" s="23">
        <f t="shared" si="9"/>
        <v>257.93978314570103</v>
      </c>
      <c r="C149" s="23">
        <f t="shared" si="10"/>
        <v>172.93332515530665</v>
      </c>
      <c r="D149" s="23">
        <f t="shared" si="8"/>
        <v>85.006457990394367</v>
      </c>
      <c r="E149" s="31">
        <f t="shared" si="11"/>
        <v>22959.275376686215</v>
      </c>
    </row>
    <row r="150" spans="1:5" s="19" customFormat="1" x14ac:dyDescent="0.2">
      <c r="A150" s="22">
        <v>133</v>
      </c>
      <c r="B150" s="23">
        <f t="shared" si="9"/>
        <v>257.93978314570103</v>
      </c>
      <c r="C150" s="23">
        <f t="shared" si="10"/>
        <v>173.5688221642362</v>
      </c>
      <c r="D150" s="23">
        <f t="shared" si="8"/>
        <v>84.370960981464833</v>
      </c>
      <c r="E150" s="31">
        <f t="shared" si="11"/>
        <v>22785.706554521978</v>
      </c>
    </row>
    <row r="151" spans="1:5" s="19" customFormat="1" x14ac:dyDescent="0.2">
      <c r="A151" s="22">
        <v>134</v>
      </c>
      <c r="B151" s="23">
        <f t="shared" si="9"/>
        <v>257.93978314570103</v>
      </c>
      <c r="C151" s="23">
        <f t="shared" si="10"/>
        <v>174.20665450354807</v>
      </c>
      <c r="D151" s="23">
        <f t="shared" si="8"/>
        <v>83.733128642152948</v>
      </c>
      <c r="E151" s="31">
        <f t="shared" si="11"/>
        <v>22611.499900018429</v>
      </c>
    </row>
    <row r="152" spans="1:5" s="19" customFormat="1" x14ac:dyDescent="0.2">
      <c r="A152" s="22">
        <v>135</v>
      </c>
      <c r="B152" s="23">
        <f t="shared" si="9"/>
        <v>257.93978314570103</v>
      </c>
      <c r="C152" s="23">
        <f t="shared" si="10"/>
        <v>174.84683075513638</v>
      </c>
      <c r="D152" s="23">
        <f t="shared" si="8"/>
        <v>83.092952390564648</v>
      </c>
      <c r="E152" s="31">
        <f t="shared" si="11"/>
        <v>22436.653069263291</v>
      </c>
    </row>
    <row r="153" spans="1:5" s="19" customFormat="1" x14ac:dyDescent="0.2">
      <c r="A153" s="22">
        <v>136</v>
      </c>
      <c r="B153" s="23">
        <f t="shared" si="9"/>
        <v>257.93978314570103</v>
      </c>
      <c r="C153" s="23">
        <f t="shared" si="10"/>
        <v>175.48935953243193</v>
      </c>
      <c r="D153" s="23">
        <f t="shared" si="8"/>
        <v>82.450423613269081</v>
      </c>
      <c r="E153" s="31">
        <f t="shared" si="11"/>
        <v>22261.163709730859</v>
      </c>
    </row>
    <row r="154" spans="1:5" s="19" customFormat="1" x14ac:dyDescent="0.2">
      <c r="A154" s="22">
        <v>137</v>
      </c>
      <c r="B154" s="23">
        <f t="shared" si="9"/>
        <v>257.93978314570103</v>
      </c>
      <c r="C154" s="23">
        <f t="shared" si="10"/>
        <v>176.13424948051838</v>
      </c>
      <c r="D154" s="23">
        <f t="shared" si="8"/>
        <v>81.805533665182651</v>
      </c>
      <c r="E154" s="31">
        <f t="shared" si="11"/>
        <v>22085.029460250342</v>
      </c>
    </row>
    <row r="155" spans="1:5" s="19" customFormat="1" x14ac:dyDescent="0.2">
      <c r="A155" s="22">
        <v>138</v>
      </c>
      <c r="B155" s="23">
        <f t="shared" si="9"/>
        <v>257.93978314570103</v>
      </c>
      <c r="C155" s="23">
        <f t="shared" si="10"/>
        <v>176.78150927624827</v>
      </c>
      <c r="D155" s="23">
        <f t="shared" si="8"/>
        <v>81.158273869452756</v>
      </c>
      <c r="E155" s="31">
        <f t="shared" si="11"/>
        <v>21908.247950974095</v>
      </c>
    </row>
    <row r="156" spans="1:5" s="19" customFormat="1" x14ac:dyDescent="0.2">
      <c r="A156" s="22">
        <v>139</v>
      </c>
      <c r="B156" s="23">
        <f t="shared" si="9"/>
        <v>257.93978314570103</v>
      </c>
      <c r="C156" s="23">
        <f t="shared" si="10"/>
        <v>177.43114762836004</v>
      </c>
      <c r="D156" s="23">
        <f t="shared" si="8"/>
        <v>80.508635517340991</v>
      </c>
      <c r="E156" s="31">
        <f t="shared" si="11"/>
        <v>21730.816803345737</v>
      </c>
    </row>
    <row r="157" spans="1:5" s="19" customFormat="1" x14ac:dyDescent="0.2">
      <c r="A157" s="22">
        <v>140</v>
      </c>
      <c r="B157" s="23">
        <f t="shared" si="9"/>
        <v>257.93978314570103</v>
      </c>
      <c r="C157" s="23">
        <f t="shared" si="10"/>
        <v>178.08317327759502</v>
      </c>
      <c r="D157" s="23">
        <f t="shared" si="8"/>
        <v>79.856609868106005</v>
      </c>
      <c r="E157" s="31">
        <f t="shared" si="11"/>
        <v>21552.733630068142</v>
      </c>
    </row>
    <row r="158" spans="1:5" s="19" customFormat="1" x14ac:dyDescent="0.2">
      <c r="A158" s="22">
        <v>141</v>
      </c>
      <c r="B158" s="23">
        <f t="shared" si="9"/>
        <v>257.93978314570103</v>
      </c>
      <c r="C158" s="23">
        <f t="shared" si="10"/>
        <v>178.73759499681518</v>
      </c>
      <c r="D158" s="23">
        <f t="shared" si="8"/>
        <v>79.202188148885867</v>
      </c>
      <c r="E158" s="31">
        <f t="shared" si="11"/>
        <v>21373.996035071326</v>
      </c>
    </row>
    <row r="159" spans="1:5" s="19" customFormat="1" x14ac:dyDescent="0.2">
      <c r="A159" s="22">
        <v>142</v>
      </c>
      <c r="B159" s="23">
        <f t="shared" si="9"/>
        <v>257.93978314570103</v>
      </c>
      <c r="C159" s="23">
        <f t="shared" si="10"/>
        <v>179.39442159112093</v>
      </c>
      <c r="D159" s="23">
        <f t="shared" si="8"/>
        <v>78.545361554580097</v>
      </c>
      <c r="E159" s="31">
        <f t="shared" si="11"/>
        <v>21194.601613480205</v>
      </c>
    </row>
    <row r="160" spans="1:5" s="19" customFormat="1" x14ac:dyDescent="0.2">
      <c r="A160" s="22">
        <v>143</v>
      </c>
      <c r="B160" s="23">
        <f t="shared" si="9"/>
        <v>257.93978314570103</v>
      </c>
      <c r="C160" s="23">
        <f t="shared" si="10"/>
        <v>180.0536618979699</v>
      </c>
      <c r="D160" s="23">
        <f t="shared" si="8"/>
        <v>77.886121247731111</v>
      </c>
      <c r="E160" s="31">
        <f t="shared" si="11"/>
        <v>21014.547951582234</v>
      </c>
    </row>
    <row r="161" spans="1:5" s="19" customFormat="1" x14ac:dyDescent="0.2">
      <c r="A161" s="22">
        <v>144</v>
      </c>
      <c r="B161" s="23">
        <f t="shared" si="9"/>
        <v>257.93978314570103</v>
      </c>
      <c r="C161" s="23">
        <f t="shared" si="10"/>
        <v>180.71532478729566</v>
      </c>
      <c r="D161" s="23">
        <f t="shared" si="8"/>
        <v>77.224458358405371</v>
      </c>
      <c r="E161" s="31">
        <f t="shared" si="11"/>
        <v>20833.832626794938</v>
      </c>
    </row>
    <row r="162" spans="1:5" s="19" customFormat="1" x14ac:dyDescent="0.2">
      <c r="A162" s="22">
        <v>145</v>
      </c>
      <c r="B162" s="23">
        <f t="shared" si="9"/>
        <v>257.93978314570103</v>
      </c>
      <c r="C162" s="23">
        <f t="shared" si="10"/>
        <v>181.37941916162703</v>
      </c>
      <c r="D162" s="23">
        <f t="shared" si="8"/>
        <v>76.560363984074016</v>
      </c>
      <c r="E162" s="31">
        <f t="shared" si="11"/>
        <v>20652.453207633313</v>
      </c>
    </row>
    <row r="163" spans="1:5" s="19" customFormat="1" x14ac:dyDescent="0.2">
      <c r="A163" s="22">
        <v>146</v>
      </c>
      <c r="B163" s="23">
        <f t="shared" si="9"/>
        <v>257.93978314570103</v>
      </c>
      <c r="C163" s="23">
        <f t="shared" si="10"/>
        <v>182.04595395620794</v>
      </c>
      <c r="D163" s="23">
        <f t="shared" si="8"/>
        <v>75.893829189493104</v>
      </c>
      <c r="E163" s="31">
        <f t="shared" si="11"/>
        <v>20470.407253677105</v>
      </c>
    </row>
    <row r="164" spans="1:5" s="19" customFormat="1" x14ac:dyDescent="0.2">
      <c r="A164" s="22">
        <v>147</v>
      </c>
      <c r="B164" s="23">
        <f t="shared" si="9"/>
        <v>257.93978314570103</v>
      </c>
      <c r="C164" s="23">
        <f t="shared" si="10"/>
        <v>182.71493813911769</v>
      </c>
      <c r="D164" s="23">
        <f t="shared" si="8"/>
        <v>75.224845006583337</v>
      </c>
      <c r="E164" s="31">
        <f t="shared" si="11"/>
        <v>20287.692315537988</v>
      </c>
    </row>
    <row r="165" spans="1:5" s="19" customFormat="1" x14ac:dyDescent="0.2">
      <c r="A165" s="22">
        <v>148</v>
      </c>
      <c r="B165" s="23">
        <f t="shared" si="9"/>
        <v>257.93978314570103</v>
      </c>
      <c r="C165" s="23">
        <f t="shared" si="10"/>
        <v>183.38638071139155</v>
      </c>
      <c r="D165" s="23">
        <f t="shared" si="8"/>
        <v>74.553402434309476</v>
      </c>
      <c r="E165" s="31">
        <f t="shared" si="11"/>
        <v>20104.305934826596</v>
      </c>
    </row>
    <row r="166" spans="1:5" s="19" customFormat="1" x14ac:dyDescent="0.2">
      <c r="A166" s="22">
        <v>149</v>
      </c>
      <c r="B166" s="23">
        <f t="shared" si="9"/>
        <v>257.93978314570103</v>
      </c>
      <c r="C166" s="23">
        <f t="shared" si="10"/>
        <v>184.06029070714186</v>
      </c>
      <c r="D166" s="23">
        <f t="shared" si="8"/>
        <v>73.879492438559154</v>
      </c>
      <c r="E166" s="31">
        <f t="shared" si="11"/>
        <v>19920.245644119455</v>
      </c>
    </row>
    <row r="167" spans="1:5" s="19" customFormat="1" x14ac:dyDescent="0.2">
      <c r="A167" s="22">
        <v>150</v>
      </c>
      <c r="B167" s="23">
        <f t="shared" si="9"/>
        <v>257.93978314570103</v>
      </c>
      <c r="C167" s="23">
        <f t="shared" si="10"/>
        <v>184.73667719367961</v>
      </c>
      <c r="D167" s="23">
        <f t="shared" si="8"/>
        <v>73.203105952021417</v>
      </c>
      <c r="E167" s="31">
        <f t="shared" si="11"/>
        <v>19735.508966925776</v>
      </c>
    </row>
    <row r="168" spans="1:5" s="19" customFormat="1" x14ac:dyDescent="0.2">
      <c r="A168" s="22">
        <v>151</v>
      </c>
      <c r="B168" s="23">
        <f t="shared" si="9"/>
        <v>257.93978314570103</v>
      </c>
      <c r="C168" s="23">
        <f t="shared" si="10"/>
        <v>185.41554927163639</v>
      </c>
      <c r="D168" s="23">
        <f t="shared" si="8"/>
        <v>72.52423387406462</v>
      </c>
      <c r="E168" s="31">
        <f t="shared" si="11"/>
        <v>19550.093417654138</v>
      </c>
    </row>
    <row r="169" spans="1:5" s="19" customFormat="1" x14ac:dyDescent="0.2">
      <c r="A169" s="22">
        <v>152</v>
      </c>
      <c r="B169" s="23">
        <f t="shared" si="9"/>
        <v>257.93978314570103</v>
      </c>
      <c r="C169" s="23">
        <f t="shared" si="10"/>
        <v>186.09691607508699</v>
      </c>
      <c r="D169" s="23">
        <f t="shared" si="8"/>
        <v>71.842867070614034</v>
      </c>
      <c r="E169" s="31">
        <f t="shared" si="11"/>
        <v>19363.996501579051</v>
      </c>
    </row>
    <row r="170" spans="1:5" s="19" customFormat="1" x14ac:dyDescent="0.2">
      <c r="A170" s="22">
        <v>153</v>
      </c>
      <c r="B170" s="23">
        <f t="shared" si="9"/>
        <v>257.93978314570103</v>
      </c>
      <c r="C170" s="23">
        <f t="shared" si="10"/>
        <v>186.78078677167201</v>
      </c>
      <c r="D170" s="23">
        <f t="shared" si="8"/>
        <v>71.158996374029002</v>
      </c>
      <c r="E170" s="31">
        <f t="shared" si="11"/>
        <v>19177.215714807378</v>
      </c>
    </row>
    <row r="171" spans="1:5" s="19" customFormat="1" x14ac:dyDescent="0.2">
      <c r="A171" s="22">
        <v>154</v>
      </c>
      <c r="B171" s="23">
        <f t="shared" si="9"/>
        <v>257.93978314570103</v>
      </c>
      <c r="C171" s="23">
        <f t="shared" si="10"/>
        <v>187.46717056272155</v>
      </c>
      <c r="D171" s="23">
        <f t="shared" si="8"/>
        <v>70.472612582979465</v>
      </c>
      <c r="E171" s="31">
        <f t="shared" si="11"/>
        <v>18989.748544244656</v>
      </c>
    </row>
    <row r="172" spans="1:5" s="19" customFormat="1" x14ac:dyDescent="0.2">
      <c r="A172" s="22">
        <v>155</v>
      </c>
      <c r="B172" s="23">
        <f t="shared" si="9"/>
        <v>257.93978314570103</v>
      </c>
      <c r="C172" s="23">
        <f t="shared" si="10"/>
        <v>188.15607668337876</v>
      </c>
      <c r="D172" s="23">
        <f t="shared" si="8"/>
        <v>69.783706462322272</v>
      </c>
      <c r="E172" s="31">
        <f t="shared" si="11"/>
        <v>18801.592467561277</v>
      </c>
    </row>
    <row r="173" spans="1:5" s="19" customFormat="1" x14ac:dyDescent="0.2">
      <c r="A173" s="22">
        <v>156</v>
      </c>
      <c r="B173" s="23">
        <f t="shared" si="9"/>
        <v>257.93978314570103</v>
      </c>
      <c r="C173" s="23">
        <f t="shared" si="10"/>
        <v>188.84751440272413</v>
      </c>
      <c r="D173" s="23">
        <f t="shared" si="8"/>
        <v>69.092268742976884</v>
      </c>
      <c r="E173" s="31">
        <f t="shared" si="11"/>
        <v>18612.744953158552</v>
      </c>
    </row>
    <row r="174" spans="1:5" s="19" customFormat="1" x14ac:dyDescent="0.2">
      <c r="A174" s="22">
        <v>157</v>
      </c>
      <c r="B174" s="23">
        <f t="shared" si="9"/>
        <v>257.93978314570103</v>
      </c>
      <c r="C174" s="23">
        <f t="shared" si="10"/>
        <v>189.54149302390041</v>
      </c>
      <c r="D174" s="23">
        <f t="shared" si="8"/>
        <v>68.398290121800613</v>
      </c>
      <c r="E174" s="31">
        <f t="shared" si="11"/>
        <v>18423.20346013465</v>
      </c>
    </row>
    <row r="175" spans="1:5" s="19" customFormat="1" x14ac:dyDescent="0.2">
      <c r="A175" s="22">
        <v>158</v>
      </c>
      <c r="B175" s="23">
        <f t="shared" si="9"/>
        <v>257.93978314570103</v>
      </c>
      <c r="C175" s="23">
        <f t="shared" si="10"/>
        <v>190.23802188423747</v>
      </c>
      <c r="D175" s="23">
        <f t="shared" si="8"/>
        <v>67.701761261463545</v>
      </c>
      <c r="E175" s="31">
        <f t="shared" si="11"/>
        <v>18232.965438250412</v>
      </c>
    </row>
    <row r="176" spans="1:5" s="19" customFormat="1" x14ac:dyDescent="0.2">
      <c r="A176" s="22">
        <v>159</v>
      </c>
      <c r="B176" s="23">
        <f t="shared" si="9"/>
        <v>257.93978314570103</v>
      </c>
      <c r="C176" s="23">
        <f t="shared" si="10"/>
        <v>190.93711035537819</v>
      </c>
      <c r="D176" s="23">
        <f t="shared" si="8"/>
        <v>67.002672790322833</v>
      </c>
      <c r="E176" s="31">
        <f t="shared" si="11"/>
        <v>18042.028327895034</v>
      </c>
    </row>
    <row r="177" spans="1:5" s="19" customFormat="1" x14ac:dyDescent="0.2">
      <c r="A177" s="22">
        <v>160</v>
      </c>
      <c r="B177" s="23">
        <f t="shared" si="9"/>
        <v>257.93978314570103</v>
      </c>
      <c r="C177" s="23">
        <f t="shared" si="10"/>
        <v>191.63876784340439</v>
      </c>
      <c r="D177" s="23">
        <f t="shared" si="8"/>
        <v>66.301015302296634</v>
      </c>
      <c r="E177" s="31">
        <f t="shared" si="11"/>
        <v>17850.38956005163</v>
      </c>
    </row>
    <row r="178" spans="1:5" s="19" customFormat="1" x14ac:dyDescent="0.2">
      <c r="A178" s="22">
        <v>161</v>
      </c>
      <c r="B178" s="23">
        <f t="shared" si="9"/>
        <v>257.93978314570103</v>
      </c>
      <c r="C178" s="23">
        <f t="shared" si="10"/>
        <v>192.34300378896347</v>
      </c>
      <c r="D178" s="23">
        <f t="shared" si="8"/>
        <v>65.596779356737557</v>
      </c>
      <c r="E178" s="31">
        <f t="shared" si="11"/>
        <v>17658.046556262667</v>
      </c>
    </row>
    <row r="179" spans="1:5" s="19" customFormat="1" x14ac:dyDescent="0.2">
      <c r="A179" s="22">
        <v>162</v>
      </c>
      <c r="B179" s="23">
        <f t="shared" si="9"/>
        <v>257.93978314570103</v>
      </c>
      <c r="C179" s="23">
        <f t="shared" si="10"/>
        <v>193.04982766739539</v>
      </c>
      <c r="D179" s="23">
        <f t="shared" si="8"/>
        <v>64.889955478305623</v>
      </c>
      <c r="E179" s="31">
        <f t="shared" si="11"/>
        <v>17464.99672859527</v>
      </c>
    </row>
    <row r="180" spans="1:5" s="19" customFormat="1" x14ac:dyDescent="0.2">
      <c r="A180" s="22">
        <v>163</v>
      </c>
      <c r="B180" s="23">
        <f t="shared" si="9"/>
        <v>257.93978314570103</v>
      </c>
      <c r="C180" s="23">
        <f t="shared" si="10"/>
        <v>193.75924898886029</v>
      </c>
      <c r="D180" s="23">
        <f t="shared" si="8"/>
        <v>64.18053415684075</v>
      </c>
      <c r="E180" s="31">
        <f t="shared" si="11"/>
        <v>17271.23747960641</v>
      </c>
    </row>
    <row r="181" spans="1:5" s="19" customFormat="1" x14ac:dyDescent="0.2">
      <c r="A181" s="22">
        <v>164</v>
      </c>
      <c r="B181" s="23">
        <f t="shared" si="9"/>
        <v>257.93978314570103</v>
      </c>
      <c r="C181" s="23">
        <f t="shared" si="10"/>
        <v>194.47127729846613</v>
      </c>
      <c r="D181" s="23">
        <f t="shared" si="8"/>
        <v>63.468505847234908</v>
      </c>
      <c r="E181" s="31">
        <f t="shared" si="11"/>
        <v>17076.766202307943</v>
      </c>
    </row>
    <row r="182" spans="1:5" s="19" customFormat="1" x14ac:dyDescent="0.2">
      <c r="A182" s="22">
        <v>165</v>
      </c>
      <c r="B182" s="23">
        <f t="shared" si="9"/>
        <v>257.93978314570103</v>
      </c>
      <c r="C182" s="23">
        <f t="shared" si="10"/>
        <v>195.1859221763975</v>
      </c>
      <c r="D182" s="23">
        <f t="shared" si="8"/>
        <v>62.753860969303538</v>
      </c>
      <c r="E182" s="31">
        <f t="shared" si="11"/>
        <v>16881.580280131544</v>
      </c>
    </row>
    <row r="183" spans="1:5" s="19" customFormat="1" x14ac:dyDescent="0.2">
      <c r="A183" s="22">
        <v>166</v>
      </c>
      <c r="B183" s="23">
        <f t="shared" si="9"/>
        <v>257.93978314570103</v>
      </c>
      <c r="C183" s="23">
        <f t="shared" si="10"/>
        <v>195.90319323804425</v>
      </c>
      <c r="D183" s="23">
        <f t="shared" si="8"/>
        <v>62.036589907656776</v>
      </c>
      <c r="E183" s="31">
        <f t="shared" si="11"/>
        <v>16685.677086893498</v>
      </c>
    </row>
    <row r="184" spans="1:5" s="19" customFormat="1" x14ac:dyDescent="0.2">
      <c r="A184" s="22">
        <v>167</v>
      </c>
      <c r="B184" s="23">
        <f t="shared" si="9"/>
        <v>257.93978314570103</v>
      </c>
      <c r="C184" s="23">
        <f t="shared" si="10"/>
        <v>196.62310013413102</v>
      </c>
      <c r="D184" s="23">
        <f t="shared" si="8"/>
        <v>61.316683011570007</v>
      </c>
      <c r="E184" s="31">
        <f t="shared" si="11"/>
        <v>16489.053986759369</v>
      </c>
    </row>
    <row r="185" spans="1:5" s="19" customFormat="1" x14ac:dyDescent="0.2">
      <c r="A185" s="22">
        <v>168</v>
      </c>
      <c r="B185" s="23">
        <f t="shared" si="9"/>
        <v>257.93978314570103</v>
      </c>
      <c r="C185" s="23">
        <f t="shared" si="10"/>
        <v>197.34565255084695</v>
      </c>
      <c r="D185" s="23">
        <f t="shared" si="8"/>
        <v>60.594130594854072</v>
      </c>
      <c r="E185" s="31">
        <f t="shared" si="11"/>
        <v>16291.708334208523</v>
      </c>
    </row>
    <row r="186" spans="1:5" s="19" customFormat="1" x14ac:dyDescent="0.2">
      <c r="A186" s="22">
        <v>169</v>
      </c>
      <c r="B186" s="23">
        <f t="shared" si="9"/>
        <v>257.93978314570103</v>
      </c>
      <c r="C186" s="23">
        <f t="shared" si="10"/>
        <v>198.07086020997616</v>
      </c>
      <c r="D186" s="23">
        <f t="shared" si="8"/>
        <v>59.868922935724875</v>
      </c>
      <c r="E186" s="31">
        <f t="shared" si="11"/>
        <v>16093.637473998546</v>
      </c>
    </row>
    <row r="187" spans="1:5" s="19" customFormat="1" x14ac:dyDescent="0.2">
      <c r="A187" s="22">
        <v>170</v>
      </c>
      <c r="B187" s="23">
        <f t="shared" si="9"/>
        <v>257.93978314570103</v>
      </c>
      <c r="C187" s="23">
        <f t="shared" si="10"/>
        <v>198.79873286902838</v>
      </c>
      <c r="D187" s="23">
        <f t="shared" si="8"/>
        <v>59.141050276672644</v>
      </c>
      <c r="E187" s="31">
        <f t="shared" si="11"/>
        <v>15894.838741129517</v>
      </c>
    </row>
    <row r="188" spans="1:5" s="19" customFormat="1" x14ac:dyDescent="0.2">
      <c r="A188" s="22">
        <v>171</v>
      </c>
      <c r="B188" s="23">
        <f t="shared" si="9"/>
        <v>257.93978314570103</v>
      </c>
      <c r="C188" s="23">
        <f t="shared" si="10"/>
        <v>199.52928032137044</v>
      </c>
      <c r="D188" s="23">
        <f t="shared" si="8"/>
        <v>58.410502824330599</v>
      </c>
      <c r="E188" s="31">
        <f t="shared" si="11"/>
        <v>15695.309460808146</v>
      </c>
    </row>
    <row r="189" spans="1:5" s="19" customFormat="1" x14ac:dyDescent="0.2">
      <c r="A189" s="22">
        <v>172</v>
      </c>
      <c r="B189" s="23">
        <f t="shared" si="9"/>
        <v>257.93978314570103</v>
      </c>
      <c r="C189" s="23">
        <f t="shared" si="10"/>
        <v>200.26251239635781</v>
      </c>
      <c r="D189" s="23">
        <f t="shared" si="8"/>
        <v>57.677270749343229</v>
      </c>
      <c r="E189" s="31">
        <f t="shared" si="11"/>
        <v>15495.046948411789</v>
      </c>
    </row>
    <row r="190" spans="1:5" s="19" customFormat="1" x14ac:dyDescent="0.2">
      <c r="A190" s="22">
        <v>173</v>
      </c>
      <c r="B190" s="23">
        <f t="shared" si="9"/>
        <v>257.93978314570103</v>
      </c>
      <c r="C190" s="23">
        <f t="shared" si="10"/>
        <v>200.99843895946702</v>
      </c>
      <c r="D190" s="23">
        <f t="shared" si="8"/>
        <v>56.941344186233991</v>
      </c>
      <c r="E190" s="31">
        <f t="shared" si="11"/>
        <v>15294.048509452323</v>
      </c>
    </row>
    <row r="191" spans="1:5" s="19" customFormat="1" x14ac:dyDescent="0.2">
      <c r="A191" s="22">
        <v>174</v>
      </c>
      <c r="B191" s="23">
        <f t="shared" si="9"/>
        <v>257.93978314570103</v>
      </c>
      <c r="C191" s="23">
        <f t="shared" si="10"/>
        <v>201.73706991242841</v>
      </c>
      <c r="D191" s="23">
        <f t="shared" si="8"/>
        <v>56.202713233272611</v>
      </c>
      <c r="E191" s="31">
        <f t="shared" si="11"/>
        <v>15092.311439539895</v>
      </c>
    </row>
    <row r="192" spans="1:5" s="19" customFormat="1" x14ac:dyDescent="0.2">
      <c r="A192" s="22">
        <v>175</v>
      </c>
      <c r="B192" s="23">
        <f t="shared" si="9"/>
        <v>257.93978314570103</v>
      </c>
      <c r="C192" s="23">
        <f t="shared" si="10"/>
        <v>202.47841519335918</v>
      </c>
      <c r="D192" s="23">
        <f t="shared" si="8"/>
        <v>55.461367952341838</v>
      </c>
      <c r="E192" s="31">
        <f t="shared" si="11"/>
        <v>14889.833024346535</v>
      </c>
    </row>
    <row r="193" spans="1:5" s="19" customFormat="1" x14ac:dyDescent="0.2">
      <c r="A193" s="22">
        <v>176</v>
      </c>
      <c r="B193" s="23">
        <f t="shared" si="9"/>
        <v>257.93978314570103</v>
      </c>
      <c r="C193" s="23">
        <f t="shared" si="10"/>
        <v>203.22248477689732</v>
      </c>
      <c r="D193" s="23">
        <f t="shared" si="8"/>
        <v>54.717298368803725</v>
      </c>
      <c r="E193" s="31">
        <f t="shared" si="11"/>
        <v>14686.610539569638</v>
      </c>
    </row>
    <row r="194" spans="1:5" s="19" customFormat="1" x14ac:dyDescent="0.2">
      <c r="A194" s="22">
        <v>177</v>
      </c>
      <c r="B194" s="23">
        <f t="shared" si="9"/>
        <v>257.93978314570103</v>
      </c>
      <c r="C194" s="23">
        <f t="shared" si="10"/>
        <v>203.96928867433559</v>
      </c>
      <c r="D194" s="23">
        <f t="shared" si="8"/>
        <v>53.970494471365441</v>
      </c>
      <c r="E194" s="31">
        <f t="shared" si="11"/>
        <v>14482.641250895302</v>
      </c>
    </row>
    <row r="195" spans="1:5" s="19" customFormat="1" x14ac:dyDescent="0.2">
      <c r="A195" s="22">
        <v>178</v>
      </c>
      <c r="B195" s="23">
        <f t="shared" si="9"/>
        <v>257.93978314570103</v>
      </c>
      <c r="C195" s="23">
        <f t="shared" si="10"/>
        <v>204.71883693375645</v>
      </c>
      <c r="D195" s="23">
        <f t="shared" si="8"/>
        <v>53.220946211944579</v>
      </c>
      <c r="E195" s="31">
        <f t="shared" si="11"/>
        <v>14277.922413961545</v>
      </c>
    </row>
    <row r="196" spans="1:5" s="19" customFormat="1" x14ac:dyDescent="0.2">
      <c r="A196" s="22">
        <v>179</v>
      </c>
      <c r="B196" s="23">
        <f t="shared" si="9"/>
        <v>257.93978314570103</v>
      </c>
      <c r="C196" s="23">
        <f t="shared" si="10"/>
        <v>205.47113964016711</v>
      </c>
      <c r="D196" s="23">
        <f t="shared" si="8"/>
        <v>52.468643505533912</v>
      </c>
      <c r="E196" s="31">
        <f t="shared" si="11"/>
        <v>14072.451274321378</v>
      </c>
    </row>
    <row r="197" spans="1:5" s="19" customFormat="1" x14ac:dyDescent="0.2">
      <c r="A197" s="22">
        <v>180</v>
      </c>
      <c r="B197" s="23">
        <f t="shared" si="9"/>
        <v>257.93978314570103</v>
      </c>
      <c r="C197" s="23">
        <f t="shared" si="10"/>
        <v>206.22620691563529</v>
      </c>
      <c r="D197" s="23">
        <f t="shared" si="8"/>
        <v>51.713576230065748</v>
      </c>
      <c r="E197" s="31">
        <f t="shared" si="11"/>
        <v>13866.225067405743</v>
      </c>
    </row>
    <row r="198" spans="1:5" s="19" customFormat="1" x14ac:dyDescent="0.2">
      <c r="A198" s="22">
        <v>181</v>
      </c>
      <c r="B198" s="23">
        <f t="shared" si="9"/>
        <v>257.93978314570103</v>
      </c>
      <c r="C198" s="23">
        <f t="shared" si="10"/>
        <v>206.98404891942528</v>
      </c>
      <c r="D198" s="23">
        <f t="shared" si="8"/>
        <v>50.955734226275737</v>
      </c>
      <c r="E198" s="31">
        <f t="shared" si="11"/>
        <v>13659.241018486318</v>
      </c>
    </row>
    <row r="199" spans="1:5" s="19" customFormat="1" x14ac:dyDescent="0.2">
      <c r="A199" s="22">
        <v>182</v>
      </c>
      <c r="B199" s="23">
        <f t="shared" si="9"/>
        <v>257.93978314570103</v>
      </c>
      <c r="C199" s="23">
        <f t="shared" si="10"/>
        <v>207.74467584813488</v>
      </c>
      <c r="D199" s="23">
        <f t="shared" si="8"/>
        <v>50.195107297566153</v>
      </c>
      <c r="E199" s="31">
        <f t="shared" si="11"/>
        <v>13451.496342638184</v>
      </c>
    </row>
    <row r="200" spans="1:5" s="19" customFormat="1" x14ac:dyDescent="0.2">
      <c r="A200" s="22">
        <v>183</v>
      </c>
      <c r="B200" s="23">
        <f t="shared" si="9"/>
        <v>257.93978314570103</v>
      </c>
      <c r="C200" s="23">
        <f t="shared" si="10"/>
        <v>208.5080979358323</v>
      </c>
      <c r="D200" s="23">
        <f t="shared" si="8"/>
        <v>49.431685209868725</v>
      </c>
      <c r="E200" s="31">
        <f t="shared" si="11"/>
        <v>13242.988244702352</v>
      </c>
    </row>
    <row r="201" spans="1:5" s="19" customFormat="1" x14ac:dyDescent="0.2">
      <c r="A201" s="22">
        <v>184</v>
      </c>
      <c r="B201" s="23">
        <f t="shared" si="9"/>
        <v>257.93978314570103</v>
      </c>
      <c r="C201" s="23">
        <f t="shared" si="10"/>
        <v>209.2743254541941</v>
      </c>
      <c r="D201" s="23">
        <f t="shared" si="8"/>
        <v>48.665457691506923</v>
      </c>
      <c r="E201" s="31">
        <f t="shared" si="11"/>
        <v>13033.713919248157</v>
      </c>
    </row>
    <row r="202" spans="1:5" s="19" customFormat="1" x14ac:dyDescent="0.2">
      <c r="A202" s="22">
        <v>185</v>
      </c>
      <c r="B202" s="23">
        <f t="shared" si="9"/>
        <v>257.93978314570103</v>
      </c>
      <c r="C202" s="23">
        <f t="shared" si="10"/>
        <v>210.04336871264326</v>
      </c>
      <c r="D202" s="23">
        <f t="shared" si="8"/>
        <v>47.896414433057764</v>
      </c>
      <c r="E202" s="31">
        <f t="shared" si="11"/>
        <v>12823.670550535515</v>
      </c>
    </row>
    <row r="203" spans="1:5" s="19" customFormat="1" x14ac:dyDescent="0.2">
      <c r="A203" s="22">
        <v>186</v>
      </c>
      <c r="B203" s="23">
        <f t="shared" si="9"/>
        <v>257.93978314570103</v>
      </c>
      <c r="C203" s="23">
        <f t="shared" si="10"/>
        <v>210.81523805848792</v>
      </c>
      <c r="D203" s="23">
        <f t="shared" si="8"/>
        <v>47.124545087213122</v>
      </c>
      <c r="E203" s="31">
        <f t="shared" si="11"/>
        <v>12612.855312477026</v>
      </c>
    </row>
    <row r="204" spans="1:5" s="19" customFormat="1" x14ac:dyDescent="0.2">
      <c r="A204" s="22">
        <v>187</v>
      </c>
      <c r="B204" s="23">
        <f t="shared" si="9"/>
        <v>257.93978314570103</v>
      </c>
      <c r="C204" s="23">
        <f t="shared" si="10"/>
        <v>211.58994387706056</v>
      </c>
      <c r="D204" s="23">
        <f t="shared" si="8"/>
        <v>46.349839268640459</v>
      </c>
      <c r="E204" s="31">
        <f t="shared" si="11"/>
        <v>12401.265368599965</v>
      </c>
    </row>
    <row r="205" spans="1:5" s="19" customFormat="1" x14ac:dyDescent="0.2">
      <c r="A205" s="22">
        <v>188</v>
      </c>
      <c r="B205" s="23">
        <f t="shared" si="9"/>
        <v>257.93978314570103</v>
      </c>
      <c r="C205" s="23">
        <f t="shared" si="10"/>
        <v>212.3674965918579</v>
      </c>
      <c r="D205" s="23">
        <f t="shared" si="8"/>
        <v>45.572286553843128</v>
      </c>
      <c r="E205" s="31">
        <f t="shared" si="11"/>
        <v>12188.897872008107</v>
      </c>
    </row>
    <row r="206" spans="1:5" s="19" customFormat="1" x14ac:dyDescent="0.2">
      <c r="A206" s="22">
        <v>189</v>
      </c>
      <c r="B206" s="23">
        <f t="shared" si="9"/>
        <v>257.93978314570103</v>
      </c>
      <c r="C206" s="23">
        <f t="shared" si="10"/>
        <v>213.1479066646809</v>
      </c>
      <c r="D206" s="23">
        <f t="shared" si="8"/>
        <v>44.791876481020125</v>
      </c>
      <c r="E206" s="31">
        <f t="shared" si="11"/>
        <v>11975.749965343426</v>
      </c>
    </row>
    <row r="207" spans="1:5" s="19" customFormat="1" x14ac:dyDescent="0.2">
      <c r="A207" s="22">
        <v>190</v>
      </c>
      <c r="B207" s="23">
        <f t="shared" si="9"/>
        <v>257.93978314570103</v>
      </c>
      <c r="C207" s="23">
        <f t="shared" si="10"/>
        <v>213.9311845957757</v>
      </c>
      <c r="D207" s="23">
        <f t="shared" si="8"/>
        <v>44.008598549925317</v>
      </c>
      <c r="E207" s="31">
        <f t="shared" si="11"/>
        <v>11761.81878074765</v>
      </c>
    </row>
    <row r="208" spans="1:5" s="19" customFormat="1" x14ac:dyDescent="0.2">
      <c r="A208" s="22">
        <v>191</v>
      </c>
      <c r="B208" s="23">
        <f t="shared" si="9"/>
        <v>257.93978314570103</v>
      </c>
      <c r="C208" s="23">
        <f t="shared" si="10"/>
        <v>214.71734092397486</v>
      </c>
      <c r="D208" s="23">
        <f t="shared" si="8"/>
        <v>43.222442221726169</v>
      </c>
      <c r="E208" s="31">
        <f t="shared" si="11"/>
        <v>11547.101439823675</v>
      </c>
    </row>
    <row r="209" spans="1:5" s="19" customFormat="1" x14ac:dyDescent="0.2">
      <c r="A209" s="22">
        <v>192</v>
      </c>
      <c r="B209" s="23">
        <f t="shared" si="9"/>
        <v>257.93978314570103</v>
      </c>
      <c r="C209" s="23">
        <f t="shared" si="10"/>
        <v>215.50638622683908</v>
      </c>
      <c r="D209" s="23">
        <f t="shared" si="8"/>
        <v>42.433396918861945</v>
      </c>
      <c r="E209" s="31">
        <f t="shared" si="11"/>
        <v>11331.595053596835</v>
      </c>
    </row>
    <row r="210" spans="1:5" s="19" customFormat="1" x14ac:dyDescent="0.2">
      <c r="A210" s="22">
        <v>193</v>
      </c>
      <c r="B210" s="23">
        <f t="shared" si="9"/>
        <v>257.93978314570103</v>
      </c>
      <c r="C210" s="23">
        <f t="shared" si="10"/>
        <v>216.29833112079965</v>
      </c>
      <c r="D210" s="23">
        <f t="shared" ref="D210:D273" si="12">E209*B$7</f>
        <v>41.641452024901376</v>
      </c>
      <c r="E210" s="31">
        <f t="shared" si="11"/>
        <v>11115.296722476036</v>
      </c>
    </row>
    <row r="211" spans="1:5" s="19" customFormat="1" x14ac:dyDescent="0.2">
      <c r="A211" s="22">
        <v>194</v>
      </c>
      <c r="B211" s="23">
        <f t="shared" ref="B211:B274" si="13">B$9</f>
        <v>257.93978314570103</v>
      </c>
      <c r="C211" s="23">
        <f t="shared" ref="C211:C274" si="14">B211-D211</f>
        <v>217.09318626130118</v>
      </c>
      <c r="D211" s="23">
        <f t="shared" si="12"/>
        <v>40.846596884399858</v>
      </c>
      <c r="E211" s="31">
        <f t="shared" ref="E211:E274" si="15">E210-C211</f>
        <v>10898.203536214734</v>
      </c>
    </row>
    <row r="212" spans="1:5" s="19" customFormat="1" x14ac:dyDescent="0.2">
      <c r="A212" s="22">
        <v>195</v>
      </c>
      <c r="B212" s="23">
        <f t="shared" si="13"/>
        <v>257.93978314570103</v>
      </c>
      <c r="C212" s="23">
        <f t="shared" si="14"/>
        <v>217.89096234294499</v>
      </c>
      <c r="D212" s="23">
        <f t="shared" si="12"/>
        <v>40.04882080275604</v>
      </c>
      <c r="E212" s="31">
        <f t="shared" si="15"/>
        <v>10680.31257387179</v>
      </c>
    </row>
    <row r="213" spans="1:5" s="19" customFormat="1" x14ac:dyDescent="0.2">
      <c r="A213" s="22">
        <v>196</v>
      </c>
      <c r="B213" s="23">
        <f t="shared" si="13"/>
        <v>257.93978314570103</v>
      </c>
      <c r="C213" s="23">
        <f t="shared" si="14"/>
        <v>218.69167009963309</v>
      </c>
      <c r="D213" s="23">
        <f t="shared" si="12"/>
        <v>39.248113046067957</v>
      </c>
      <c r="E213" s="31">
        <f t="shared" si="15"/>
        <v>10461.620903772156</v>
      </c>
    </row>
    <row r="214" spans="1:5" s="19" customFormat="1" x14ac:dyDescent="0.2">
      <c r="A214" s="22">
        <v>197</v>
      </c>
      <c r="B214" s="23">
        <f t="shared" si="13"/>
        <v>257.93978314570103</v>
      </c>
      <c r="C214" s="23">
        <f t="shared" si="14"/>
        <v>219.49532030471244</v>
      </c>
      <c r="D214" s="23">
        <f t="shared" si="12"/>
        <v>38.444462840988592</v>
      </c>
      <c r="E214" s="31">
        <f t="shared" si="15"/>
        <v>10242.125583467445</v>
      </c>
    </row>
    <row r="215" spans="1:5" s="19" customFormat="1" x14ac:dyDescent="0.2">
      <c r="A215" s="22">
        <v>198</v>
      </c>
      <c r="B215" s="23">
        <f t="shared" si="13"/>
        <v>257.93978314570103</v>
      </c>
      <c r="C215" s="23">
        <f t="shared" si="14"/>
        <v>220.30192377112007</v>
      </c>
      <c r="D215" s="23">
        <f t="shared" si="12"/>
        <v>37.637859374580941</v>
      </c>
      <c r="E215" s="31">
        <f t="shared" si="15"/>
        <v>10021.823659696325</v>
      </c>
    </row>
    <row r="216" spans="1:5" s="19" customFormat="1" x14ac:dyDescent="0.2">
      <c r="A216" s="22">
        <v>199</v>
      </c>
      <c r="B216" s="23">
        <f t="shared" si="13"/>
        <v>257.93978314570103</v>
      </c>
      <c r="C216" s="23">
        <f t="shared" si="14"/>
        <v>221.11149135152851</v>
      </c>
      <c r="D216" s="23">
        <f t="shared" si="12"/>
        <v>36.828291794172507</v>
      </c>
      <c r="E216" s="31">
        <f t="shared" si="15"/>
        <v>9800.7121683447967</v>
      </c>
    </row>
    <row r="217" spans="1:5" s="19" customFormat="1" x14ac:dyDescent="0.2">
      <c r="A217" s="22">
        <v>200</v>
      </c>
      <c r="B217" s="23">
        <f t="shared" si="13"/>
        <v>257.93978314570103</v>
      </c>
      <c r="C217" s="23">
        <f t="shared" si="14"/>
        <v>221.92403393849173</v>
      </c>
      <c r="D217" s="23">
        <f t="shared" si="12"/>
        <v>36.015749207209296</v>
      </c>
      <c r="E217" s="31">
        <f t="shared" si="15"/>
        <v>9578.7881344063044</v>
      </c>
    </row>
    <row r="218" spans="1:5" s="19" customFormat="1" x14ac:dyDescent="0.2">
      <c r="A218" s="22">
        <v>201</v>
      </c>
      <c r="B218" s="23">
        <f t="shared" si="13"/>
        <v>257.93978314570103</v>
      </c>
      <c r="C218" s="23">
        <f t="shared" si="14"/>
        <v>222.73956246459176</v>
      </c>
      <c r="D218" s="23">
        <f t="shared" si="12"/>
        <v>35.200220681109258</v>
      </c>
      <c r="E218" s="31">
        <f t="shared" si="15"/>
        <v>9356.048571941712</v>
      </c>
    </row>
    <row r="219" spans="1:5" s="19" customFormat="1" x14ac:dyDescent="0.2">
      <c r="A219" s="22">
        <v>202</v>
      </c>
      <c r="B219" s="23">
        <f t="shared" si="13"/>
        <v>257.93978314570103</v>
      </c>
      <c r="C219" s="23">
        <f t="shared" si="14"/>
        <v>223.55808790258584</v>
      </c>
      <c r="D219" s="23">
        <f t="shared" si="12"/>
        <v>34.381695243115182</v>
      </c>
      <c r="E219" s="31">
        <f t="shared" si="15"/>
        <v>9132.4904840391264</v>
      </c>
    </row>
    <row r="220" spans="1:5" s="19" customFormat="1" x14ac:dyDescent="0.2">
      <c r="A220" s="22">
        <v>203</v>
      </c>
      <c r="B220" s="23">
        <f t="shared" si="13"/>
        <v>257.93978314570103</v>
      </c>
      <c r="C220" s="23">
        <f t="shared" si="14"/>
        <v>224.37962126555396</v>
      </c>
      <c r="D220" s="23">
        <f t="shared" si="12"/>
        <v>33.560161880147071</v>
      </c>
      <c r="E220" s="31">
        <f t="shared" si="15"/>
        <v>8908.1108627735721</v>
      </c>
    </row>
    <row r="221" spans="1:5" s="19" customFormat="1" x14ac:dyDescent="0.2">
      <c r="A221" s="22">
        <v>204</v>
      </c>
      <c r="B221" s="23">
        <f t="shared" si="13"/>
        <v>257.93978314570103</v>
      </c>
      <c r="C221" s="23">
        <f t="shared" si="14"/>
        <v>225.20417360704707</v>
      </c>
      <c r="D221" s="23">
        <f t="shared" si="12"/>
        <v>32.735609538653954</v>
      </c>
      <c r="E221" s="31">
        <f t="shared" si="15"/>
        <v>8682.9066891665243</v>
      </c>
    </row>
    <row r="222" spans="1:5" s="19" customFormat="1" x14ac:dyDescent="0.2">
      <c r="A222" s="22">
        <v>205</v>
      </c>
      <c r="B222" s="23">
        <f t="shared" si="13"/>
        <v>257.93978314570103</v>
      </c>
      <c r="C222" s="23">
        <f t="shared" si="14"/>
        <v>226.03175602123588</v>
      </c>
      <c r="D222" s="23">
        <f t="shared" si="12"/>
        <v>31.908027124465161</v>
      </c>
      <c r="E222" s="31">
        <f t="shared" si="15"/>
        <v>8456.8749331452891</v>
      </c>
    </row>
    <row r="223" spans="1:5" s="19" customFormat="1" x14ac:dyDescent="0.2">
      <c r="A223" s="22">
        <v>206</v>
      </c>
      <c r="B223" s="23">
        <f t="shared" si="13"/>
        <v>257.93978314570103</v>
      </c>
      <c r="C223" s="23">
        <f t="shared" si="14"/>
        <v>226.86237964305994</v>
      </c>
      <c r="D223" s="23">
        <f t="shared" si="12"/>
        <v>31.077403502641079</v>
      </c>
      <c r="E223" s="31">
        <f t="shared" si="15"/>
        <v>8230.0125535022289</v>
      </c>
    </row>
    <row r="224" spans="1:5" s="19" customFormat="1" x14ac:dyDescent="0.2">
      <c r="A224" s="22">
        <v>207</v>
      </c>
      <c r="B224" s="23">
        <f t="shared" si="13"/>
        <v>257.93978314570103</v>
      </c>
      <c r="C224" s="23">
        <f t="shared" si="14"/>
        <v>227.69605564837775</v>
      </c>
      <c r="D224" s="23">
        <f t="shared" si="12"/>
        <v>30.243727497323288</v>
      </c>
      <c r="E224" s="31">
        <f t="shared" si="15"/>
        <v>8002.3164978538516</v>
      </c>
    </row>
    <row r="225" spans="1:5" s="19" customFormat="1" x14ac:dyDescent="0.2">
      <c r="A225" s="22">
        <v>208</v>
      </c>
      <c r="B225" s="23">
        <f t="shared" si="13"/>
        <v>257.93978314570103</v>
      </c>
      <c r="C225" s="23">
        <f t="shared" si="14"/>
        <v>228.53279525411679</v>
      </c>
      <c r="D225" s="23">
        <f t="shared" si="12"/>
        <v>29.406987891584237</v>
      </c>
      <c r="E225" s="31">
        <f t="shared" si="15"/>
        <v>7773.7837025997351</v>
      </c>
    </row>
    <row r="226" spans="1:5" s="19" customFormat="1" x14ac:dyDescent="0.2">
      <c r="A226" s="22">
        <v>209</v>
      </c>
      <c r="B226" s="23">
        <f t="shared" si="13"/>
        <v>257.93978314570103</v>
      </c>
      <c r="C226" s="23">
        <f t="shared" si="14"/>
        <v>229.37260971842474</v>
      </c>
      <c r="D226" s="23">
        <f t="shared" si="12"/>
        <v>28.567173427276298</v>
      </c>
      <c r="E226" s="31">
        <f t="shared" si="15"/>
        <v>7544.4110928813107</v>
      </c>
    </row>
    <row r="227" spans="1:5" s="19" customFormat="1" x14ac:dyDescent="0.2">
      <c r="A227" s="22">
        <v>210</v>
      </c>
      <c r="B227" s="23">
        <f t="shared" si="13"/>
        <v>257.93978314570103</v>
      </c>
      <c r="C227" s="23">
        <f t="shared" si="14"/>
        <v>230.21551034082074</v>
      </c>
      <c r="D227" s="23">
        <f t="shared" si="12"/>
        <v>27.7242728048803</v>
      </c>
      <c r="E227" s="31">
        <f t="shared" si="15"/>
        <v>7314.1955825404902</v>
      </c>
    </row>
    <row r="228" spans="1:5" s="19" customFormat="1" x14ac:dyDescent="0.2">
      <c r="A228" s="22">
        <v>211</v>
      </c>
      <c r="B228" s="23">
        <f t="shared" si="13"/>
        <v>257.93978314570103</v>
      </c>
      <c r="C228" s="23">
        <f t="shared" si="14"/>
        <v>231.06150846234755</v>
      </c>
      <c r="D228" s="23">
        <f t="shared" si="12"/>
        <v>26.878274683353485</v>
      </c>
      <c r="E228" s="31">
        <f t="shared" si="15"/>
        <v>7083.1340740781425</v>
      </c>
    </row>
    <row r="229" spans="1:5" s="19" customFormat="1" x14ac:dyDescent="0.2">
      <c r="A229" s="22">
        <v>212</v>
      </c>
      <c r="B229" s="23">
        <f t="shared" si="13"/>
        <v>257.93978314570103</v>
      </c>
      <c r="C229" s="23">
        <f t="shared" si="14"/>
        <v>231.91061546572411</v>
      </c>
      <c r="D229" s="23">
        <f t="shared" si="12"/>
        <v>26.029167679976933</v>
      </c>
      <c r="E229" s="31">
        <f t="shared" si="15"/>
        <v>6851.2234586124187</v>
      </c>
    </row>
    <row r="230" spans="1:5" s="19" customFormat="1" x14ac:dyDescent="0.2">
      <c r="A230" s="22">
        <v>213</v>
      </c>
      <c r="B230" s="23">
        <f t="shared" si="13"/>
        <v>257.93978314570103</v>
      </c>
      <c r="C230" s="23">
        <f t="shared" si="14"/>
        <v>232.76284277549863</v>
      </c>
      <c r="D230" s="23">
        <f t="shared" si="12"/>
        <v>25.176940370202395</v>
      </c>
      <c r="E230" s="31">
        <f t="shared" si="15"/>
        <v>6618.4606158369197</v>
      </c>
    </row>
    <row r="231" spans="1:5" s="19" customFormat="1" x14ac:dyDescent="0.2">
      <c r="A231" s="22">
        <v>214</v>
      </c>
      <c r="B231" s="23">
        <f t="shared" si="13"/>
        <v>257.93978314570103</v>
      </c>
      <c r="C231" s="23">
        <f t="shared" si="14"/>
        <v>233.61820185820244</v>
      </c>
      <c r="D231" s="23">
        <f t="shared" si="12"/>
        <v>24.321581287498585</v>
      </c>
      <c r="E231" s="31">
        <f t="shared" si="15"/>
        <v>6384.8424139787176</v>
      </c>
    </row>
    <row r="232" spans="1:5" s="19" customFormat="1" x14ac:dyDescent="0.2">
      <c r="A232" s="22">
        <v>215</v>
      </c>
      <c r="B232" s="23">
        <f t="shared" si="13"/>
        <v>257.93978314570103</v>
      </c>
      <c r="C232" s="23">
        <f t="shared" si="14"/>
        <v>234.47670422250411</v>
      </c>
      <c r="D232" s="23">
        <f t="shared" si="12"/>
        <v>23.46307892319691</v>
      </c>
      <c r="E232" s="31">
        <f t="shared" si="15"/>
        <v>6150.3657097562136</v>
      </c>
    </row>
    <row r="233" spans="1:5" s="19" customFormat="1" x14ac:dyDescent="0.2">
      <c r="A233" s="22">
        <v>216</v>
      </c>
      <c r="B233" s="23">
        <f t="shared" si="13"/>
        <v>257.93978314570103</v>
      </c>
      <c r="C233" s="23">
        <f t="shared" si="14"/>
        <v>235.33836141936442</v>
      </c>
      <c r="D233" s="23">
        <f t="shared" si="12"/>
        <v>22.6014217263366</v>
      </c>
      <c r="E233" s="31">
        <f t="shared" si="15"/>
        <v>5915.0273483368492</v>
      </c>
    </row>
    <row r="234" spans="1:5" s="19" customFormat="1" x14ac:dyDescent="0.2">
      <c r="A234" s="22">
        <v>217</v>
      </c>
      <c r="B234" s="23">
        <f t="shared" si="13"/>
        <v>257.93978314570103</v>
      </c>
      <c r="C234" s="23">
        <f t="shared" si="14"/>
        <v>236.20318504219171</v>
      </c>
      <c r="D234" s="23">
        <f t="shared" si="12"/>
        <v>21.736598103509316</v>
      </c>
      <c r="E234" s="31">
        <f t="shared" si="15"/>
        <v>5678.8241632946574</v>
      </c>
    </row>
    <row r="235" spans="1:5" s="19" customFormat="1" x14ac:dyDescent="0.2">
      <c r="A235" s="22">
        <v>218</v>
      </c>
      <c r="B235" s="23">
        <f t="shared" si="13"/>
        <v>257.93978314570103</v>
      </c>
      <c r="C235" s="23">
        <f t="shared" si="14"/>
        <v>237.07118672699789</v>
      </c>
      <c r="D235" s="23">
        <f t="shared" si="12"/>
        <v>20.868596418703145</v>
      </c>
      <c r="E235" s="31">
        <f t="shared" si="15"/>
        <v>5441.7529765676591</v>
      </c>
    </row>
    <row r="236" spans="1:5" s="19" customFormat="1" x14ac:dyDescent="0.2">
      <c r="A236" s="22">
        <v>219</v>
      </c>
      <c r="B236" s="23">
        <f t="shared" si="13"/>
        <v>257.93978314570103</v>
      </c>
      <c r="C236" s="23">
        <f t="shared" si="14"/>
        <v>237.94237815255497</v>
      </c>
      <c r="D236" s="23">
        <f t="shared" si="12"/>
        <v>19.997404993146052</v>
      </c>
      <c r="E236" s="31">
        <f t="shared" si="15"/>
        <v>5203.8105984151043</v>
      </c>
    </row>
    <row r="237" spans="1:5" s="19" customFormat="1" x14ac:dyDescent="0.2">
      <c r="A237" s="22">
        <v>220</v>
      </c>
      <c r="B237" s="23">
        <f t="shared" si="13"/>
        <v>257.93978314570103</v>
      </c>
      <c r="C237" s="23">
        <f t="shared" si="14"/>
        <v>238.81677104055228</v>
      </c>
      <c r="D237" s="23">
        <f t="shared" si="12"/>
        <v>19.123012105148742</v>
      </c>
      <c r="E237" s="31">
        <f t="shared" si="15"/>
        <v>4964.993827374552</v>
      </c>
    </row>
    <row r="238" spans="1:5" s="19" customFormat="1" x14ac:dyDescent="0.2">
      <c r="A238" s="22">
        <v>221</v>
      </c>
      <c r="B238" s="23">
        <f t="shared" si="13"/>
        <v>257.93978314570103</v>
      </c>
      <c r="C238" s="23">
        <f t="shared" si="14"/>
        <v>239.69437715575407</v>
      </c>
      <c r="D238" s="23">
        <f t="shared" si="12"/>
        <v>18.245405989946946</v>
      </c>
      <c r="E238" s="31">
        <f t="shared" si="15"/>
        <v>4725.2994502187976</v>
      </c>
    </row>
    <row r="239" spans="1:5" s="19" customFormat="1" x14ac:dyDescent="0.2">
      <c r="A239" s="22">
        <v>222</v>
      </c>
      <c r="B239" s="23">
        <f t="shared" si="13"/>
        <v>257.93978314570103</v>
      </c>
      <c r="C239" s="23">
        <f t="shared" si="14"/>
        <v>240.57520830615789</v>
      </c>
      <c r="D239" s="23">
        <f t="shared" si="12"/>
        <v>17.364574839543124</v>
      </c>
      <c r="E239" s="31">
        <f t="shared" si="15"/>
        <v>4484.7242419126396</v>
      </c>
    </row>
    <row r="240" spans="1:5" s="19" customFormat="1" x14ac:dyDescent="0.2">
      <c r="A240" s="22">
        <v>223</v>
      </c>
      <c r="B240" s="23">
        <f t="shared" si="13"/>
        <v>257.93978314570103</v>
      </c>
      <c r="C240" s="23">
        <f t="shared" si="14"/>
        <v>241.45927634315342</v>
      </c>
      <c r="D240" s="23">
        <f t="shared" si="12"/>
        <v>16.480506802547602</v>
      </c>
      <c r="E240" s="31">
        <f t="shared" si="15"/>
        <v>4243.2649655694859</v>
      </c>
    </row>
    <row r="241" spans="1:5" s="19" customFormat="1" x14ac:dyDescent="0.2">
      <c r="A241" s="22">
        <v>224</v>
      </c>
      <c r="B241" s="23">
        <f t="shared" si="13"/>
        <v>257.93978314570103</v>
      </c>
      <c r="C241" s="23">
        <f t="shared" si="14"/>
        <v>242.34659316168194</v>
      </c>
      <c r="D241" s="23">
        <f t="shared" si="12"/>
        <v>15.5931899840191</v>
      </c>
      <c r="E241" s="31">
        <f t="shared" si="15"/>
        <v>4000.9183724078039</v>
      </c>
    </row>
    <row r="242" spans="1:5" s="19" customFormat="1" x14ac:dyDescent="0.2">
      <c r="A242" s="22">
        <v>225</v>
      </c>
      <c r="B242" s="23">
        <f t="shared" si="13"/>
        <v>257.93978314570103</v>
      </c>
      <c r="C242" s="23">
        <f t="shared" si="14"/>
        <v>243.23717070039632</v>
      </c>
      <c r="D242" s="23">
        <f t="shared" si="12"/>
        <v>14.702612445304705</v>
      </c>
      <c r="E242" s="31">
        <f t="shared" si="15"/>
        <v>3757.6812017074076</v>
      </c>
    </row>
    <row r="243" spans="1:5" s="19" customFormat="1" x14ac:dyDescent="0.2">
      <c r="A243" s="22">
        <v>226</v>
      </c>
      <c r="B243" s="23">
        <f t="shared" si="13"/>
        <v>257.93978314570103</v>
      </c>
      <c r="C243" s="23">
        <f t="shared" si="14"/>
        <v>244.13102094182182</v>
      </c>
      <c r="D243" s="23">
        <f t="shared" si="12"/>
        <v>13.808762203879226</v>
      </c>
      <c r="E243" s="31">
        <f t="shared" si="15"/>
        <v>3513.5501807655855</v>
      </c>
    </row>
    <row r="244" spans="1:5" s="19" customFormat="1" x14ac:dyDescent="0.2">
      <c r="A244" s="22">
        <v>227</v>
      </c>
      <c r="B244" s="23">
        <f t="shared" si="13"/>
        <v>257.93978314570103</v>
      </c>
      <c r="C244" s="23">
        <f t="shared" si="14"/>
        <v>245.02815591251706</v>
      </c>
      <c r="D244" s="23">
        <f t="shared" si="12"/>
        <v>12.911627233183973</v>
      </c>
      <c r="E244" s="31">
        <f t="shared" si="15"/>
        <v>3268.5220248530686</v>
      </c>
    </row>
    <row r="245" spans="1:5" s="19" customFormat="1" x14ac:dyDescent="0.2">
      <c r="A245" s="22">
        <v>228</v>
      </c>
      <c r="B245" s="23">
        <f t="shared" si="13"/>
        <v>257.93978314570103</v>
      </c>
      <c r="C245" s="23">
        <f t="shared" si="14"/>
        <v>245.92858768323609</v>
      </c>
      <c r="D245" s="23">
        <f t="shared" si="12"/>
        <v>12.011195462464949</v>
      </c>
      <c r="E245" s="31">
        <f t="shared" si="15"/>
        <v>3022.5934371698327</v>
      </c>
    </row>
    <row r="246" spans="1:5" s="19" customFormat="1" x14ac:dyDescent="0.2">
      <c r="A246" s="22">
        <v>229</v>
      </c>
      <c r="B246" s="23">
        <f t="shared" si="13"/>
        <v>257.93978314570103</v>
      </c>
      <c r="C246" s="23">
        <f t="shared" si="14"/>
        <v>246.83232836909059</v>
      </c>
      <c r="D246" s="23">
        <f t="shared" si="12"/>
        <v>11.107454776610435</v>
      </c>
      <c r="E246" s="31">
        <f t="shared" si="15"/>
        <v>2775.761108800742</v>
      </c>
    </row>
    <row r="247" spans="1:5" s="19" customFormat="1" x14ac:dyDescent="0.2">
      <c r="A247" s="22">
        <v>230</v>
      </c>
      <c r="B247" s="23">
        <f t="shared" si="13"/>
        <v>257.93978314570103</v>
      </c>
      <c r="C247" s="23">
        <f t="shared" si="14"/>
        <v>247.73939012971306</v>
      </c>
      <c r="D247" s="23">
        <f t="shared" si="12"/>
        <v>10.200393015987984</v>
      </c>
      <c r="E247" s="31">
        <f t="shared" si="15"/>
        <v>2528.0217186710288</v>
      </c>
    </row>
    <row r="248" spans="1:5" s="19" customFormat="1" x14ac:dyDescent="0.2">
      <c r="A248" s="22">
        <v>231</v>
      </c>
      <c r="B248" s="23">
        <f t="shared" si="13"/>
        <v>257.93978314570103</v>
      </c>
      <c r="C248" s="23">
        <f t="shared" si="14"/>
        <v>248.6497851694202</v>
      </c>
      <c r="D248" s="23">
        <f t="shared" si="12"/>
        <v>9.2899979762808229</v>
      </c>
      <c r="E248" s="31">
        <f t="shared" si="15"/>
        <v>2279.3719335016085</v>
      </c>
    </row>
    <row r="249" spans="1:5" s="19" customFormat="1" x14ac:dyDescent="0.2">
      <c r="A249" s="22">
        <v>232</v>
      </c>
      <c r="B249" s="23">
        <f t="shared" si="13"/>
        <v>257.93978314570103</v>
      </c>
      <c r="C249" s="23">
        <f t="shared" si="14"/>
        <v>249.5635257373774</v>
      </c>
      <c r="D249" s="23">
        <f t="shared" si="12"/>
        <v>8.3762574083236334</v>
      </c>
      <c r="E249" s="31">
        <f t="shared" si="15"/>
        <v>2029.8084077642311</v>
      </c>
    </row>
    <row r="250" spans="1:5" s="19" customFormat="1" x14ac:dyDescent="0.2">
      <c r="A250" s="22">
        <v>233</v>
      </c>
      <c r="B250" s="23">
        <f t="shared" si="13"/>
        <v>257.93978314570103</v>
      </c>
      <c r="C250" s="23">
        <f t="shared" si="14"/>
        <v>250.48062412776326</v>
      </c>
      <c r="D250" s="23">
        <f t="shared" si="12"/>
        <v>7.459159017937754</v>
      </c>
      <c r="E250" s="31">
        <f t="shared" si="15"/>
        <v>1779.3277836364678</v>
      </c>
    </row>
    <row r="251" spans="1:5" s="19" customFormat="1" x14ac:dyDescent="0.2">
      <c r="A251" s="22">
        <v>234</v>
      </c>
      <c r="B251" s="23">
        <f t="shared" si="13"/>
        <v>257.93978314570103</v>
      </c>
      <c r="C251" s="23">
        <f t="shared" si="14"/>
        <v>251.40109267993526</v>
      </c>
      <c r="D251" s="23">
        <f t="shared" si="12"/>
        <v>6.5386904657657601</v>
      </c>
      <c r="E251" s="31">
        <f t="shared" si="15"/>
        <v>1527.9266909565324</v>
      </c>
    </row>
    <row r="252" spans="1:5" s="19" customFormat="1" x14ac:dyDescent="0.2">
      <c r="A252" s="22">
        <v>235</v>
      </c>
      <c r="B252" s="23">
        <f t="shared" si="13"/>
        <v>257.93978314570103</v>
      </c>
      <c r="C252" s="23">
        <f t="shared" si="14"/>
        <v>252.32494377859558</v>
      </c>
      <c r="D252" s="23">
        <f t="shared" si="12"/>
        <v>5.6148393671054375</v>
      </c>
      <c r="E252" s="31">
        <f t="shared" si="15"/>
        <v>1275.6017471779369</v>
      </c>
    </row>
    <row r="253" spans="1:5" s="19" customFormat="1" x14ac:dyDescent="0.2">
      <c r="A253" s="22">
        <v>236</v>
      </c>
      <c r="B253" s="23">
        <f t="shared" si="13"/>
        <v>257.93978314570103</v>
      </c>
      <c r="C253" s="23">
        <f t="shared" si="14"/>
        <v>253.25218985395787</v>
      </c>
      <c r="D253" s="23">
        <f t="shared" si="12"/>
        <v>4.6875932917431546</v>
      </c>
      <c r="E253" s="31">
        <f t="shared" si="15"/>
        <v>1022.3495573239791</v>
      </c>
    </row>
    <row r="254" spans="1:5" s="19" customFormat="1" x14ac:dyDescent="0.2">
      <c r="A254" s="22">
        <v>237</v>
      </c>
      <c r="B254" s="23">
        <f t="shared" si="13"/>
        <v>257.93978314570103</v>
      </c>
      <c r="C254" s="23">
        <f t="shared" si="14"/>
        <v>254.18284338191441</v>
      </c>
      <c r="D254" s="23">
        <f t="shared" si="12"/>
        <v>3.7569397637866122</v>
      </c>
      <c r="E254" s="31">
        <f t="shared" si="15"/>
        <v>768.16671394206469</v>
      </c>
    </row>
    <row r="255" spans="1:5" s="19" customFormat="1" x14ac:dyDescent="0.2">
      <c r="A255" s="22">
        <v>238</v>
      </c>
      <c r="B255" s="23">
        <f t="shared" si="13"/>
        <v>257.93978314570103</v>
      </c>
      <c r="C255" s="23">
        <f t="shared" si="14"/>
        <v>255.11691688420404</v>
      </c>
      <c r="D255" s="23">
        <f t="shared" si="12"/>
        <v>2.8228662614969853</v>
      </c>
      <c r="E255" s="31">
        <f t="shared" si="15"/>
        <v>513.04979705786059</v>
      </c>
    </row>
    <row r="256" spans="1:5" s="19" customFormat="1" x14ac:dyDescent="0.2">
      <c r="A256" s="22">
        <v>239</v>
      </c>
      <c r="B256" s="23">
        <f t="shared" si="13"/>
        <v>257.93978314570103</v>
      </c>
      <c r="C256" s="23">
        <f t="shared" si="14"/>
        <v>256.05442292858061</v>
      </c>
      <c r="D256" s="23">
        <f t="shared" si="12"/>
        <v>1.8853602171204449</v>
      </c>
      <c r="E256" s="31">
        <f t="shared" si="15"/>
        <v>256.99537412927998</v>
      </c>
    </row>
    <row r="257" spans="1:5" s="19" customFormat="1" x14ac:dyDescent="0.2">
      <c r="A257" s="22">
        <v>240</v>
      </c>
      <c r="B257" s="23">
        <f t="shared" si="13"/>
        <v>257.93978314570103</v>
      </c>
      <c r="C257" s="23">
        <f t="shared" si="14"/>
        <v>256.99537412898195</v>
      </c>
      <c r="D257" s="23">
        <f t="shared" si="12"/>
        <v>0.94440901671906374</v>
      </c>
      <c r="E257" s="31">
        <f t="shared" si="15"/>
        <v>2.9803004508721642E-10</v>
      </c>
    </row>
    <row r="258" spans="1:5" s="19" customFormat="1" x14ac:dyDescent="0.2">
      <c r="A258" s="22">
        <v>241</v>
      </c>
      <c r="B258" s="23">
        <f t="shared" si="13"/>
        <v>257.93978314570103</v>
      </c>
      <c r="C258" s="23">
        <f t="shared" si="14"/>
        <v>257.93978314569995</v>
      </c>
      <c r="D258" s="23">
        <f t="shared" si="12"/>
        <v>1.0952036112991216E-12</v>
      </c>
      <c r="E258" s="31">
        <f t="shared" si="15"/>
        <v>-257.93978314540192</v>
      </c>
    </row>
    <row r="259" spans="1:5" s="19" customFormat="1" x14ac:dyDescent="0.2">
      <c r="A259" s="22">
        <v>242</v>
      </c>
      <c r="B259" s="23">
        <f t="shared" si="13"/>
        <v>257.93978314570103</v>
      </c>
      <c r="C259" s="23">
        <f t="shared" si="14"/>
        <v>258.88766268555037</v>
      </c>
      <c r="D259" s="23">
        <f t="shared" si="12"/>
        <v>-0.9478795398493659</v>
      </c>
      <c r="E259" s="31">
        <f t="shared" si="15"/>
        <v>-516.82744583095223</v>
      </c>
    </row>
    <row r="260" spans="1:5" s="19" customFormat="1" x14ac:dyDescent="0.2">
      <c r="A260" s="22">
        <v>243</v>
      </c>
      <c r="B260" s="23">
        <f t="shared" si="13"/>
        <v>257.93978314570103</v>
      </c>
      <c r="C260" s="23">
        <f t="shared" si="14"/>
        <v>259.83902550204436</v>
      </c>
      <c r="D260" s="23">
        <f t="shared" si="12"/>
        <v>-1.8992423563433509</v>
      </c>
      <c r="E260" s="31">
        <f t="shared" si="15"/>
        <v>-776.66647133299659</v>
      </c>
    </row>
    <row r="261" spans="1:5" s="19" customFormat="1" x14ac:dyDescent="0.2">
      <c r="A261" s="22">
        <v>244</v>
      </c>
      <c r="B261" s="23">
        <f t="shared" si="13"/>
        <v>257.93978314570103</v>
      </c>
      <c r="C261" s="23">
        <f t="shared" si="14"/>
        <v>260.79388439555964</v>
      </c>
      <c r="D261" s="23">
        <f t="shared" si="12"/>
        <v>-2.8541012498586142</v>
      </c>
      <c r="E261" s="31">
        <f t="shared" si="15"/>
        <v>-1037.4603557285564</v>
      </c>
    </row>
    <row r="262" spans="1:5" s="19" customFormat="1" x14ac:dyDescent="0.2">
      <c r="A262" s="22">
        <v>245</v>
      </c>
      <c r="B262" s="23">
        <f t="shared" si="13"/>
        <v>257.93978314570103</v>
      </c>
      <c r="C262" s="23">
        <f t="shared" si="14"/>
        <v>261.75225221351286</v>
      </c>
      <c r="D262" s="23">
        <f t="shared" si="12"/>
        <v>-3.8124690678118589</v>
      </c>
      <c r="E262" s="31">
        <f t="shared" si="15"/>
        <v>-1299.2126079420691</v>
      </c>
    </row>
    <row r="263" spans="1:5" s="19" customFormat="1" x14ac:dyDescent="0.2">
      <c r="A263" s="22">
        <v>246</v>
      </c>
      <c r="B263" s="23">
        <f t="shared" si="13"/>
        <v>257.93978314570103</v>
      </c>
      <c r="C263" s="23">
        <f t="shared" si="14"/>
        <v>262.7141418505326</v>
      </c>
      <c r="D263" s="23">
        <f t="shared" si="12"/>
        <v>-4.7743587048315934</v>
      </c>
      <c r="E263" s="31">
        <f t="shared" si="15"/>
        <v>-1561.9267497926016</v>
      </c>
    </row>
    <row r="264" spans="1:5" s="19" customFormat="1" x14ac:dyDescent="0.2">
      <c r="A264" s="22">
        <v>247</v>
      </c>
      <c r="B264" s="23">
        <f t="shared" si="13"/>
        <v>257.93978314570103</v>
      </c>
      <c r="C264" s="23">
        <f t="shared" si="14"/>
        <v>263.67956624863268</v>
      </c>
      <c r="D264" s="23">
        <f t="shared" si="12"/>
        <v>-5.7397831029316304</v>
      </c>
      <c r="E264" s="31">
        <f t="shared" si="15"/>
        <v>-1825.6063160412343</v>
      </c>
    </row>
    <row r="265" spans="1:5" s="19" customFormat="1" x14ac:dyDescent="0.2">
      <c r="A265" s="22">
        <v>248</v>
      </c>
      <c r="B265" s="23">
        <f t="shared" si="13"/>
        <v>257.93978314570103</v>
      </c>
      <c r="C265" s="23">
        <f t="shared" si="14"/>
        <v>264.64853839738623</v>
      </c>
      <c r="D265" s="23">
        <f t="shared" si="12"/>
        <v>-6.7087552516852176</v>
      </c>
      <c r="E265" s="31">
        <f t="shared" si="15"/>
        <v>-2090.2548544386204</v>
      </c>
    </row>
    <row r="266" spans="1:5" s="19" customFormat="1" x14ac:dyDescent="0.2">
      <c r="A266" s="22">
        <v>249</v>
      </c>
      <c r="B266" s="23">
        <f t="shared" si="13"/>
        <v>257.93978314570103</v>
      </c>
      <c r="C266" s="23">
        <f t="shared" si="14"/>
        <v>265.62107133410086</v>
      </c>
      <c r="D266" s="23">
        <f t="shared" si="12"/>
        <v>-7.6812881883998045</v>
      </c>
      <c r="E266" s="31">
        <f t="shared" si="15"/>
        <v>-2355.8759257727215</v>
      </c>
    </row>
    <row r="267" spans="1:5" s="19" customFormat="1" x14ac:dyDescent="0.2">
      <c r="A267" s="22">
        <v>250</v>
      </c>
      <c r="B267" s="23">
        <f t="shared" si="13"/>
        <v>257.93978314570103</v>
      </c>
      <c r="C267" s="23">
        <f t="shared" si="14"/>
        <v>266.59717814399352</v>
      </c>
      <c r="D267" s="23">
        <f t="shared" si="12"/>
        <v>-8.6573949982924674</v>
      </c>
      <c r="E267" s="31">
        <f t="shared" si="15"/>
        <v>-2622.473103916715</v>
      </c>
    </row>
    <row r="268" spans="1:5" s="19" customFormat="1" x14ac:dyDescent="0.2">
      <c r="A268" s="22">
        <v>251</v>
      </c>
      <c r="B268" s="23">
        <f t="shared" si="13"/>
        <v>257.93978314570103</v>
      </c>
      <c r="C268" s="23">
        <f t="shared" si="14"/>
        <v>267.57687196036699</v>
      </c>
      <c r="D268" s="23">
        <f t="shared" si="12"/>
        <v>-9.6370888146659528</v>
      </c>
      <c r="E268" s="31">
        <f t="shared" si="15"/>
        <v>-2890.049975877082</v>
      </c>
    </row>
    <row r="269" spans="1:5" s="19" customFormat="1" x14ac:dyDescent="0.2">
      <c r="A269" s="22">
        <v>252</v>
      </c>
      <c r="B269" s="23">
        <f t="shared" si="13"/>
        <v>257.93978314570103</v>
      </c>
      <c r="C269" s="23">
        <f t="shared" si="14"/>
        <v>268.56016596478645</v>
      </c>
      <c r="D269" s="23">
        <f t="shared" si="12"/>
        <v>-10.620382819085396</v>
      </c>
      <c r="E269" s="31">
        <f t="shared" si="15"/>
        <v>-3158.6101418418684</v>
      </c>
    </row>
    <row r="270" spans="1:5" s="19" customFormat="1" x14ac:dyDescent="0.2">
      <c r="A270" s="22">
        <v>253</v>
      </c>
      <c r="B270" s="23">
        <f t="shared" si="13"/>
        <v>257.93978314570103</v>
      </c>
      <c r="C270" s="23">
        <f t="shared" si="14"/>
        <v>269.54707338725672</v>
      </c>
      <c r="D270" s="23">
        <f t="shared" si="12"/>
        <v>-11.607290241555674</v>
      </c>
      <c r="E270" s="31">
        <f t="shared" si="15"/>
        <v>-3428.1572152291251</v>
      </c>
    </row>
    <row r="271" spans="1:5" s="19" customFormat="1" x14ac:dyDescent="0.2">
      <c r="A271" s="22">
        <v>254</v>
      </c>
      <c r="B271" s="23">
        <f t="shared" si="13"/>
        <v>257.93978314570103</v>
      </c>
      <c r="C271" s="23">
        <f t="shared" si="14"/>
        <v>270.53760750640043</v>
      </c>
      <c r="D271" s="23">
        <f t="shared" si="12"/>
        <v>-12.597824360699407</v>
      </c>
      <c r="E271" s="31">
        <f t="shared" si="15"/>
        <v>-3698.6948227355256</v>
      </c>
    </row>
    <row r="272" spans="1:5" s="19" customFormat="1" x14ac:dyDescent="0.2">
      <c r="A272" s="22">
        <v>255</v>
      </c>
      <c r="B272" s="23">
        <f t="shared" si="13"/>
        <v>257.93978314570103</v>
      </c>
      <c r="C272" s="23">
        <f t="shared" si="14"/>
        <v>271.53178164963663</v>
      </c>
      <c r="D272" s="23">
        <f t="shared" si="12"/>
        <v>-13.591998503935624</v>
      </c>
      <c r="E272" s="31">
        <f t="shared" si="15"/>
        <v>-3970.2266043851623</v>
      </c>
    </row>
    <row r="273" spans="1:5" s="19" customFormat="1" x14ac:dyDescent="0.2">
      <c r="A273" s="22">
        <v>256</v>
      </c>
      <c r="B273" s="23">
        <f t="shared" si="13"/>
        <v>257.93978314570103</v>
      </c>
      <c r="C273" s="23">
        <f t="shared" si="14"/>
        <v>272.5296091933601</v>
      </c>
      <c r="D273" s="23">
        <f t="shared" si="12"/>
        <v>-14.589826047659075</v>
      </c>
      <c r="E273" s="31">
        <f t="shared" si="15"/>
        <v>-4242.7562135785229</v>
      </c>
    </row>
    <row r="274" spans="1:5" s="19" customFormat="1" x14ac:dyDescent="0.2">
      <c r="A274" s="22">
        <v>257</v>
      </c>
      <c r="B274" s="23">
        <f t="shared" si="13"/>
        <v>257.93978314570103</v>
      </c>
      <c r="C274" s="23">
        <f t="shared" si="14"/>
        <v>273.53110356312123</v>
      </c>
      <c r="D274" s="23">
        <f t="shared" ref="D274:D317" si="16">E273*B$7</f>
        <v>-15.591320417420217</v>
      </c>
      <c r="E274" s="31">
        <f t="shared" si="15"/>
        <v>-4516.2873171416441</v>
      </c>
    </row>
    <row r="275" spans="1:5" s="19" customFormat="1" x14ac:dyDescent="0.2">
      <c r="A275" s="22">
        <v>258</v>
      </c>
      <c r="B275" s="23">
        <f t="shared" ref="B275:B317" si="17">B$9</f>
        <v>257.93978314570103</v>
      </c>
      <c r="C275" s="23">
        <f t="shared" ref="C275:C317" si="18">B275-D275</f>
        <v>274.53627823380685</v>
      </c>
      <c r="D275" s="23">
        <f t="shared" si="16"/>
        <v>-16.59649508810584</v>
      </c>
      <c r="E275" s="31">
        <f t="shared" ref="E275:E317" si="19">E274-C275</f>
        <v>-4790.8235953754511</v>
      </c>
    </row>
    <row r="276" spans="1:5" s="19" customFormat="1" x14ac:dyDescent="0.2">
      <c r="A276" s="22">
        <v>259</v>
      </c>
      <c r="B276" s="23">
        <f t="shared" si="17"/>
        <v>257.93978314570103</v>
      </c>
      <c r="C276" s="23">
        <f t="shared" si="18"/>
        <v>275.5451467298214</v>
      </c>
      <c r="D276" s="23">
        <f t="shared" si="16"/>
        <v>-17.605363584120383</v>
      </c>
      <c r="E276" s="31">
        <f t="shared" si="19"/>
        <v>-5066.3687421052728</v>
      </c>
    </row>
    <row r="277" spans="1:5" s="19" customFormat="1" x14ac:dyDescent="0.2">
      <c r="A277" s="22">
        <v>260</v>
      </c>
      <c r="B277" s="23">
        <f t="shared" si="17"/>
        <v>257.93978314570103</v>
      </c>
      <c r="C277" s="23">
        <f t="shared" si="18"/>
        <v>276.55772262526892</v>
      </c>
      <c r="D277" s="23">
        <f t="shared" si="16"/>
        <v>-18.617939479567884</v>
      </c>
      <c r="E277" s="31">
        <f t="shared" si="19"/>
        <v>-5342.9264647305417</v>
      </c>
    </row>
    <row r="278" spans="1:5" s="19" customFormat="1" x14ac:dyDescent="0.2">
      <c r="A278" s="22">
        <v>261</v>
      </c>
      <c r="B278" s="23">
        <f t="shared" si="17"/>
        <v>257.93978314570103</v>
      </c>
      <c r="C278" s="23">
        <f t="shared" si="18"/>
        <v>277.57401954413564</v>
      </c>
      <c r="D278" s="23">
        <f t="shared" si="16"/>
        <v>-19.634236398434627</v>
      </c>
      <c r="E278" s="31">
        <f t="shared" si="19"/>
        <v>-5620.5004842746775</v>
      </c>
    </row>
    <row r="279" spans="1:5" s="19" customFormat="1" x14ac:dyDescent="0.2">
      <c r="A279" s="22">
        <v>262</v>
      </c>
      <c r="B279" s="23">
        <f t="shared" si="17"/>
        <v>257.93978314570103</v>
      </c>
      <c r="C279" s="23">
        <f t="shared" si="18"/>
        <v>278.5940511604735</v>
      </c>
      <c r="D279" s="23">
        <f t="shared" si="16"/>
        <v>-20.654268014772462</v>
      </c>
      <c r="E279" s="31">
        <f t="shared" si="19"/>
        <v>-5899.0945354351506</v>
      </c>
    </row>
    <row r="280" spans="1:5" s="19" customFormat="1" x14ac:dyDescent="0.2">
      <c r="A280" s="22">
        <v>263</v>
      </c>
      <c r="B280" s="23">
        <f t="shared" si="17"/>
        <v>257.93978314570103</v>
      </c>
      <c r="C280" s="23">
        <f t="shared" si="18"/>
        <v>279.61783119858376</v>
      </c>
      <c r="D280" s="23">
        <f t="shared" si="16"/>
        <v>-21.678048052882751</v>
      </c>
      <c r="E280" s="31">
        <f t="shared" si="19"/>
        <v>-6178.7123666337347</v>
      </c>
    </row>
    <row r="281" spans="1:5" s="19" customFormat="1" x14ac:dyDescent="0.2">
      <c r="A281" s="22">
        <v>264</v>
      </c>
      <c r="B281" s="23">
        <f t="shared" si="17"/>
        <v>257.93978314570103</v>
      </c>
      <c r="C281" s="23">
        <f t="shared" si="18"/>
        <v>280.64537343320211</v>
      </c>
      <c r="D281" s="23">
        <f t="shared" si="16"/>
        <v>-22.705590287501074</v>
      </c>
      <c r="E281" s="31">
        <f t="shared" si="19"/>
        <v>-6459.3577400669365</v>
      </c>
    </row>
    <row r="282" spans="1:5" s="19" customFormat="1" x14ac:dyDescent="0.2">
      <c r="A282" s="22">
        <v>265</v>
      </c>
      <c r="B282" s="23">
        <f t="shared" si="17"/>
        <v>257.93978314570103</v>
      </c>
      <c r="C282" s="23">
        <f t="shared" si="18"/>
        <v>281.67669168968354</v>
      </c>
      <c r="D282" s="23">
        <f t="shared" si="16"/>
        <v>-23.736908543982516</v>
      </c>
      <c r="E282" s="31">
        <f t="shared" si="19"/>
        <v>-6741.0344317566196</v>
      </c>
    </row>
    <row r="283" spans="1:5" s="19" customFormat="1" x14ac:dyDescent="0.2">
      <c r="A283" s="22">
        <v>266</v>
      </c>
      <c r="B283" s="23">
        <f t="shared" si="17"/>
        <v>257.93978314570103</v>
      </c>
      <c r="C283" s="23">
        <f t="shared" si="18"/>
        <v>282.71179984418876</v>
      </c>
      <c r="D283" s="23">
        <f t="shared" si="16"/>
        <v>-24.772016698487715</v>
      </c>
      <c r="E283" s="31">
        <f t="shared" si="19"/>
        <v>-7023.7462316008086</v>
      </c>
    </row>
    <row r="284" spans="1:5" s="19" customFormat="1" x14ac:dyDescent="0.2">
      <c r="A284" s="22">
        <v>267</v>
      </c>
      <c r="B284" s="23">
        <f t="shared" si="17"/>
        <v>257.93978314570103</v>
      </c>
      <c r="C284" s="23">
        <f t="shared" si="18"/>
        <v>283.75071182387057</v>
      </c>
      <c r="D284" s="23">
        <f t="shared" si="16"/>
        <v>-25.810928678169564</v>
      </c>
      <c r="E284" s="31">
        <f t="shared" si="19"/>
        <v>-7307.4969434246796</v>
      </c>
    </row>
    <row r="285" spans="1:5" s="19" customFormat="1" x14ac:dyDescent="0.2">
      <c r="A285" s="22">
        <v>268</v>
      </c>
      <c r="B285" s="23">
        <f t="shared" si="17"/>
        <v>257.93978314570103</v>
      </c>
      <c r="C285" s="23">
        <f t="shared" si="18"/>
        <v>284.7934416070616</v>
      </c>
      <c r="D285" s="23">
        <f t="shared" si="16"/>
        <v>-26.85365846136057</v>
      </c>
      <c r="E285" s="31">
        <f t="shared" si="19"/>
        <v>-7592.2903850317416</v>
      </c>
    </row>
    <row r="286" spans="1:5" s="19" customFormat="1" x14ac:dyDescent="0.2">
      <c r="A286" s="22">
        <v>269</v>
      </c>
      <c r="B286" s="23">
        <f t="shared" si="17"/>
        <v>257.93978314570103</v>
      </c>
      <c r="C286" s="23">
        <f t="shared" si="18"/>
        <v>285.84000322346202</v>
      </c>
      <c r="D286" s="23">
        <f t="shared" si="16"/>
        <v>-27.900220077760967</v>
      </c>
      <c r="E286" s="31">
        <f t="shared" si="19"/>
        <v>-7878.1303882552038</v>
      </c>
    </row>
    <row r="287" spans="1:5" s="19" customFormat="1" x14ac:dyDescent="0.2">
      <c r="A287" s="22">
        <v>270</v>
      </c>
      <c r="B287" s="23">
        <f t="shared" si="17"/>
        <v>257.93978314570103</v>
      </c>
      <c r="C287" s="23">
        <f t="shared" si="18"/>
        <v>286.89041075432846</v>
      </c>
      <c r="D287" s="23">
        <f t="shared" si="16"/>
        <v>-28.950627608627446</v>
      </c>
      <c r="E287" s="31">
        <f t="shared" si="19"/>
        <v>-8165.0207990095323</v>
      </c>
    </row>
    <row r="288" spans="1:5" s="19" customFormat="1" x14ac:dyDescent="0.2">
      <c r="A288" s="22">
        <v>271</v>
      </c>
      <c r="B288" s="23">
        <f t="shared" si="17"/>
        <v>257.93978314570103</v>
      </c>
      <c r="C288" s="23">
        <f t="shared" si="18"/>
        <v>287.94467833266367</v>
      </c>
      <c r="D288" s="23">
        <f t="shared" si="16"/>
        <v>-30.004895186962642</v>
      </c>
      <c r="E288" s="31">
        <f t="shared" si="19"/>
        <v>-8452.9654773421953</v>
      </c>
    </row>
    <row r="289" spans="1:5" s="19" customFormat="1" x14ac:dyDescent="0.2">
      <c r="A289" s="22">
        <v>272</v>
      </c>
      <c r="B289" s="23">
        <f t="shared" si="17"/>
        <v>257.93978314570103</v>
      </c>
      <c r="C289" s="23">
        <f t="shared" si="18"/>
        <v>289.00282014340632</v>
      </c>
      <c r="D289" s="23">
        <f t="shared" si="16"/>
        <v>-31.063036997705275</v>
      </c>
      <c r="E289" s="31">
        <f t="shared" si="19"/>
        <v>-8741.9682974856023</v>
      </c>
    </row>
    <row r="290" spans="1:5" s="19" customFormat="1" x14ac:dyDescent="0.2">
      <c r="A290" s="22">
        <v>273</v>
      </c>
      <c r="B290" s="23">
        <f t="shared" si="17"/>
        <v>257.93978314570103</v>
      </c>
      <c r="C290" s="23">
        <f t="shared" si="18"/>
        <v>290.06485042362203</v>
      </c>
      <c r="D290" s="23">
        <f t="shared" si="16"/>
        <v>-32.125067277921026</v>
      </c>
      <c r="E290" s="31">
        <f t="shared" si="19"/>
        <v>-9032.0331479092238</v>
      </c>
    </row>
    <row r="291" spans="1:5" s="19" customFormat="1" x14ac:dyDescent="0.2">
      <c r="A291" s="22">
        <v>274</v>
      </c>
      <c r="B291" s="23">
        <f t="shared" si="17"/>
        <v>257.93978314570103</v>
      </c>
      <c r="C291" s="23">
        <f t="shared" si="18"/>
        <v>291.13078346269509</v>
      </c>
      <c r="D291" s="23">
        <f t="shared" si="16"/>
        <v>-33.191000316994064</v>
      </c>
      <c r="E291" s="31">
        <f t="shared" si="19"/>
        <v>-9323.1639313719188</v>
      </c>
    </row>
    <row r="292" spans="1:5" s="19" customFormat="1" x14ac:dyDescent="0.2">
      <c r="A292" s="22">
        <v>275</v>
      </c>
      <c r="B292" s="23">
        <f t="shared" si="17"/>
        <v>257.93978314570103</v>
      </c>
      <c r="C292" s="23">
        <f t="shared" si="18"/>
        <v>292.20063360252033</v>
      </c>
      <c r="D292" s="23">
        <f t="shared" si="16"/>
        <v>-34.26085045681932</v>
      </c>
      <c r="E292" s="31">
        <f t="shared" si="19"/>
        <v>-9615.3645649744394</v>
      </c>
    </row>
    <row r="293" spans="1:5" s="19" customFormat="1" x14ac:dyDescent="0.2">
      <c r="A293" s="22">
        <v>276</v>
      </c>
      <c r="B293" s="23">
        <f t="shared" si="17"/>
        <v>257.93978314570103</v>
      </c>
      <c r="C293" s="23">
        <f t="shared" si="18"/>
        <v>293.27441523769647</v>
      </c>
      <c r="D293" s="23">
        <f t="shared" si="16"/>
        <v>-35.334632091995466</v>
      </c>
      <c r="E293" s="31">
        <f t="shared" si="19"/>
        <v>-9908.6389802121357</v>
      </c>
    </row>
    <row r="294" spans="1:5" s="19" customFormat="1" x14ac:dyDescent="0.2">
      <c r="A294" s="22">
        <v>277</v>
      </c>
      <c r="B294" s="23">
        <f t="shared" si="17"/>
        <v>257.93978314570103</v>
      </c>
      <c r="C294" s="23">
        <f t="shared" si="18"/>
        <v>294.35214281571962</v>
      </c>
      <c r="D294" s="23">
        <f t="shared" si="16"/>
        <v>-36.412359670018574</v>
      </c>
      <c r="E294" s="31">
        <f t="shared" si="19"/>
        <v>-10202.991123027856</v>
      </c>
    </row>
    <row r="295" spans="1:5" s="19" customFormat="1" x14ac:dyDescent="0.2">
      <c r="A295" s="22">
        <v>278</v>
      </c>
      <c r="B295" s="23">
        <f t="shared" si="17"/>
        <v>257.93978314570103</v>
      </c>
      <c r="C295" s="23">
        <f t="shared" si="18"/>
        <v>295.43383083717754</v>
      </c>
      <c r="D295" s="23">
        <f t="shared" si="16"/>
        <v>-37.49404769147651</v>
      </c>
      <c r="E295" s="31">
        <f t="shared" si="19"/>
        <v>-10498.424953865033</v>
      </c>
    </row>
    <row r="296" spans="1:5" s="19" customFormat="1" x14ac:dyDescent="0.2">
      <c r="A296" s="22">
        <v>279</v>
      </c>
      <c r="B296" s="23">
        <f t="shared" si="17"/>
        <v>257.93978314570103</v>
      </c>
      <c r="C296" s="23">
        <f t="shared" si="18"/>
        <v>296.51949385594509</v>
      </c>
      <c r="D296" s="23">
        <f t="shared" si="16"/>
        <v>-38.579710710244044</v>
      </c>
      <c r="E296" s="31">
        <f t="shared" si="19"/>
        <v>-10794.944447720978</v>
      </c>
    </row>
    <row r="297" spans="1:5" s="19" customFormat="1" x14ac:dyDescent="0.2">
      <c r="A297" s="22">
        <v>280</v>
      </c>
      <c r="B297" s="23">
        <f t="shared" si="17"/>
        <v>257.93978314570103</v>
      </c>
      <c r="C297" s="23">
        <f t="shared" si="18"/>
        <v>297.60914647937966</v>
      </c>
      <c r="D297" s="23">
        <f t="shared" si="16"/>
        <v>-39.669363333678646</v>
      </c>
      <c r="E297" s="31">
        <f t="shared" si="19"/>
        <v>-11092.553594200357</v>
      </c>
    </row>
    <row r="298" spans="1:5" s="19" customFormat="1" x14ac:dyDescent="0.2">
      <c r="A298" s="22">
        <v>281</v>
      </c>
      <c r="B298" s="23">
        <f t="shared" si="17"/>
        <v>257.93978314570103</v>
      </c>
      <c r="C298" s="23">
        <f t="shared" si="18"/>
        <v>298.70280336851806</v>
      </c>
      <c r="D298" s="23">
        <f t="shared" si="16"/>
        <v>-40.763020222817055</v>
      </c>
      <c r="E298" s="31">
        <f t="shared" si="19"/>
        <v>-11391.256397568875</v>
      </c>
    </row>
    <row r="299" spans="1:5" s="19" customFormat="1" x14ac:dyDescent="0.2">
      <c r="A299" s="22">
        <v>282</v>
      </c>
      <c r="B299" s="23">
        <f t="shared" si="17"/>
        <v>257.93978314570103</v>
      </c>
      <c r="C299" s="23">
        <f t="shared" si="18"/>
        <v>299.80047923827357</v>
      </c>
      <c r="D299" s="23">
        <f t="shared" si="16"/>
        <v>-41.860696092572525</v>
      </c>
      <c r="E299" s="31">
        <f t="shared" si="19"/>
        <v>-11691.05687680715</v>
      </c>
    </row>
    <row r="300" spans="1:5" s="19" customFormat="1" x14ac:dyDescent="0.2">
      <c r="A300" s="22">
        <v>283</v>
      </c>
      <c r="B300" s="23">
        <f t="shared" si="17"/>
        <v>257.93978314570103</v>
      </c>
      <c r="C300" s="23">
        <f t="shared" si="18"/>
        <v>300.90218885763386</v>
      </c>
      <c r="D300" s="23">
        <f t="shared" si="16"/>
        <v>-42.96240571193281</v>
      </c>
      <c r="E300" s="31">
        <f t="shared" si="19"/>
        <v>-11991.959065664783</v>
      </c>
    </row>
    <row r="301" spans="1:5" s="19" customFormat="1" x14ac:dyDescent="0.2">
      <c r="A301" s="22">
        <v>284</v>
      </c>
      <c r="B301" s="23">
        <f t="shared" si="17"/>
        <v>257.93978314570103</v>
      </c>
      <c r="C301" s="23">
        <f t="shared" si="18"/>
        <v>302.00794704985992</v>
      </c>
      <c r="D301" s="23">
        <f t="shared" si="16"/>
        <v>-44.068163904158865</v>
      </c>
      <c r="E301" s="31">
        <f t="shared" si="19"/>
        <v>-12293.967012714644</v>
      </c>
    </row>
    <row r="302" spans="1:5" s="19" customFormat="1" x14ac:dyDescent="0.2">
      <c r="A302" s="22">
        <v>285</v>
      </c>
      <c r="B302" s="23">
        <f t="shared" si="17"/>
        <v>257.93978314570103</v>
      </c>
      <c r="C302" s="23">
        <f t="shared" si="18"/>
        <v>303.11776869268533</v>
      </c>
      <c r="D302" s="23">
        <f t="shared" si="16"/>
        <v>-45.177985546984331</v>
      </c>
      <c r="E302" s="31">
        <f t="shared" si="19"/>
        <v>-12597.08478140733</v>
      </c>
    </row>
    <row r="303" spans="1:5" s="19" customFormat="1" x14ac:dyDescent="0.2">
      <c r="A303" s="22">
        <v>286</v>
      </c>
      <c r="B303" s="23">
        <f t="shared" si="17"/>
        <v>257.93978314570103</v>
      </c>
      <c r="C303" s="23">
        <f t="shared" si="18"/>
        <v>304.23166871851669</v>
      </c>
      <c r="D303" s="23">
        <f t="shared" si="16"/>
        <v>-46.291885572815652</v>
      </c>
      <c r="E303" s="31">
        <f t="shared" si="19"/>
        <v>-12901.316450125847</v>
      </c>
    </row>
    <row r="304" spans="1:5" s="19" customFormat="1" x14ac:dyDescent="0.2">
      <c r="A304" s="22">
        <v>287</v>
      </c>
      <c r="B304" s="23">
        <f t="shared" si="17"/>
        <v>257.93978314570103</v>
      </c>
      <c r="C304" s="23">
        <f t="shared" si="18"/>
        <v>305.3496621146341</v>
      </c>
      <c r="D304" s="23">
        <f t="shared" si="16"/>
        <v>-47.40987896893305</v>
      </c>
      <c r="E304" s="31">
        <f t="shared" si="19"/>
        <v>-13206.66611224048</v>
      </c>
    </row>
    <row r="305" spans="1:5" s="19" customFormat="1" x14ac:dyDescent="0.2">
      <c r="A305" s="22">
        <v>288</v>
      </c>
      <c r="B305" s="23">
        <f t="shared" si="17"/>
        <v>257.93978314570103</v>
      </c>
      <c r="C305" s="23">
        <f t="shared" si="18"/>
        <v>306.47176392339315</v>
      </c>
      <c r="D305" s="23">
        <f t="shared" si="16"/>
        <v>-48.531980777692127</v>
      </c>
      <c r="E305" s="31">
        <f t="shared" si="19"/>
        <v>-13513.137876163873</v>
      </c>
    </row>
    <row r="306" spans="1:5" s="19" customFormat="1" x14ac:dyDescent="0.2">
      <c r="A306" s="22">
        <v>289</v>
      </c>
      <c r="B306" s="23">
        <f t="shared" si="17"/>
        <v>257.93978314570103</v>
      </c>
      <c r="C306" s="23">
        <f t="shared" si="18"/>
        <v>307.59798924242727</v>
      </c>
      <c r="D306" s="23">
        <f t="shared" si="16"/>
        <v>-49.658206096726275</v>
      </c>
      <c r="E306" s="31">
        <f t="shared" si="19"/>
        <v>-13820.735865406301</v>
      </c>
    </row>
    <row r="307" spans="1:5" s="19" customFormat="1" x14ac:dyDescent="0.2">
      <c r="A307" s="22">
        <v>290</v>
      </c>
      <c r="B307" s="23">
        <f t="shared" si="17"/>
        <v>257.93978314570103</v>
      </c>
      <c r="C307" s="23">
        <f t="shared" si="18"/>
        <v>308.72835322485082</v>
      </c>
      <c r="D307" s="23">
        <f t="shared" si="16"/>
        <v>-50.788570079149821</v>
      </c>
      <c r="E307" s="31">
        <f t="shared" si="19"/>
        <v>-14129.464218631152</v>
      </c>
    </row>
    <row r="308" spans="1:5" s="19" customFormat="1" x14ac:dyDescent="0.2">
      <c r="A308" s="22">
        <v>291</v>
      </c>
      <c r="B308" s="23">
        <f t="shared" si="17"/>
        <v>257.93978314570103</v>
      </c>
      <c r="C308" s="23">
        <f t="shared" si="18"/>
        <v>309.86287107946293</v>
      </c>
      <c r="D308" s="23">
        <f t="shared" si="16"/>
        <v>-51.923087933761892</v>
      </c>
      <c r="E308" s="31">
        <f t="shared" si="19"/>
        <v>-14439.327089710616</v>
      </c>
    </row>
    <row r="309" spans="1:5" s="19" customFormat="1" x14ac:dyDescent="0.2">
      <c r="A309" s="22">
        <v>292</v>
      </c>
      <c r="B309" s="23">
        <f t="shared" si="17"/>
        <v>257.93978314570103</v>
      </c>
      <c r="C309" s="23">
        <f t="shared" si="18"/>
        <v>311.00155807095211</v>
      </c>
      <c r="D309" s="23">
        <f t="shared" si="16"/>
        <v>-53.061774925251058</v>
      </c>
      <c r="E309" s="31">
        <f t="shared" si="19"/>
        <v>-14750.328647781567</v>
      </c>
    </row>
    <row r="310" spans="1:5" s="19" customFormat="1" x14ac:dyDescent="0.2">
      <c r="A310" s="22">
        <v>293</v>
      </c>
      <c r="B310" s="23">
        <f t="shared" si="17"/>
        <v>257.93978314570103</v>
      </c>
      <c r="C310" s="23">
        <f t="shared" si="18"/>
        <v>312.14442952010171</v>
      </c>
      <c r="D310" s="23">
        <f t="shared" si="16"/>
        <v>-54.204646374400696</v>
      </c>
      <c r="E310" s="31">
        <f t="shared" si="19"/>
        <v>-15062.473077301669</v>
      </c>
    </row>
    <row r="311" spans="1:5" s="19" customFormat="1" x14ac:dyDescent="0.2">
      <c r="A311" s="22">
        <v>294</v>
      </c>
      <c r="B311" s="23">
        <f t="shared" si="17"/>
        <v>257.93978314570103</v>
      </c>
      <c r="C311" s="23">
        <f t="shared" si="18"/>
        <v>313.2915008039962</v>
      </c>
      <c r="D311" s="23">
        <f t="shared" si="16"/>
        <v>-55.351717658295165</v>
      </c>
      <c r="E311" s="31">
        <f t="shared" si="19"/>
        <v>-15375.764578105665</v>
      </c>
    </row>
    <row r="312" spans="1:5" s="19" customFormat="1" x14ac:dyDescent="0.2">
      <c r="A312" s="22">
        <v>295</v>
      </c>
      <c r="B312" s="23">
        <f t="shared" si="17"/>
        <v>257.93978314570103</v>
      </c>
      <c r="C312" s="23">
        <f t="shared" si="18"/>
        <v>314.44278735622771</v>
      </c>
      <c r="D312" s="23">
        <f t="shared" si="16"/>
        <v>-56.503004210526662</v>
      </c>
      <c r="E312" s="31">
        <f t="shared" si="19"/>
        <v>-15690.207365461893</v>
      </c>
    </row>
    <row r="313" spans="1:5" s="19" customFormat="1" x14ac:dyDescent="0.2">
      <c r="A313" s="22">
        <v>296</v>
      </c>
      <c r="B313" s="23">
        <f t="shared" si="17"/>
        <v>257.93978314570103</v>
      </c>
      <c r="C313" s="23">
        <f t="shared" si="18"/>
        <v>315.59830466710389</v>
      </c>
      <c r="D313" s="23">
        <f t="shared" si="16"/>
        <v>-57.658521521402889</v>
      </c>
      <c r="E313" s="31">
        <f t="shared" si="19"/>
        <v>-16005.805670128997</v>
      </c>
    </row>
    <row r="314" spans="1:5" s="19" customFormat="1" x14ac:dyDescent="0.2">
      <c r="A314" s="22">
        <v>297</v>
      </c>
      <c r="B314" s="23">
        <f t="shared" si="17"/>
        <v>257.93978314570103</v>
      </c>
      <c r="C314" s="23">
        <f t="shared" si="18"/>
        <v>316.75806828385652</v>
      </c>
      <c r="D314" s="23">
        <f t="shared" si="16"/>
        <v>-58.818285138155495</v>
      </c>
      <c r="E314" s="31">
        <f t="shared" si="19"/>
        <v>-16322.563738412853</v>
      </c>
    </row>
    <row r="315" spans="1:5" s="19" customFormat="1" x14ac:dyDescent="0.2">
      <c r="A315" s="22">
        <v>298</v>
      </c>
      <c r="B315" s="23">
        <f t="shared" si="17"/>
        <v>257.93978314570103</v>
      </c>
      <c r="C315" s="23">
        <f t="shared" si="18"/>
        <v>317.92209381085024</v>
      </c>
      <c r="D315" s="23">
        <f t="shared" si="16"/>
        <v>-59.982310665149228</v>
      </c>
      <c r="E315" s="31">
        <f t="shared" si="19"/>
        <v>-16640.485832223705</v>
      </c>
    </row>
    <row r="316" spans="1:5" s="19" customFormat="1" x14ac:dyDescent="0.2">
      <c r="A316" s="22">
        <v>299</v>
      </c>
      <c r="B316" s="23">
        <f t="shared" si="17"/>
        <v>257.93978314570103</v>
      </c>
      <c r="C316" s="23">
        <f t="shared" si="18"/>
        <v>319.09039690979296</v>
      </c>
      <c r="D316" s="23">
        <f t="shared" si="16"/>
        <v>-61.150613764091915</v>
      </c>
      <c r="E316" s="31">
        <f t="shared" si="19"/>
        <v>-16959.576229133498</v>
      </c>
    </row>
    <row r="317" spans="1:5" s="19" customFormat="1" x14ac:dyDescent="0.2">
      <c r="A317" s="22">
        <v>300</v>
      </c>
      <c r="B317" s="23">
        <f t="shared" si="17"/>
        <v>257.93978314570103</v>
      </c>
      <c r="C317" s="23">
        <f t="shared" si="18"/>
        <v>320.26299329994617</v>
      </c>
      <c r="D317" s="23">
        <f t="shared" si="16"/>
        <v>-62.323210154245146</v>
      </c>
      <c r="E317" s="31">
        <f t="shared" si="19"/>
        <v>-17279.839222433446</v>
      </c>
    </row>
    <row r="318" spans="1:5" s="19" customFormat="1" x14ac:dyDescent="0.2">
      <c r="B318" s="20"/>
      <c r="C318" s="20"/>
      <c r="D318" s="20"/>
      <c r="E318" s="20"/>
    </row>
  </sheetData>
  <conditionalFormatting sqref="A17:A317">
    <cfRule type="expression" dxfId="9" priority="1">
      <formula>E17&lt;-0.01</formula>
    </cfRule>
  </conditionalFormatting>
  <conditionalFormatting sqref="B17:B317">
    <cfRule type="expression" dxfId="8" priority="2">
      <formula>E17&lt;-0.01</formula>
    </cfRule>
  </conditionalFormatting>
  <conditionalFormatting sqref="C17:C317">
    <cfRule type="expression" dxfId="7" priority="3">
      <formula>E17&lt;-0.01</formula>
    </cfRule>
  </conditionalFormatting>
  <conditionalFormatting sqref="D17:D317">
    <cfRule type="expression" dxfId="6" priority="4">
      <formula>E17&lt;-0.01</formula>
    </cfRule>
  </conditionalFormatting>
  <conditionalFormatting sqref="E17:E317">
    <cfRule type="expression" dxfId="5" priority="5">
      <formula>E17&lt;-0.01</formula>
    </cfRule>
  </conditionalFormatting>
  <hyperlinks>
    <hyperlink ref="H4" r:id="rId1" xr:uid="{3A2CCB79-49B2-42F6-8D27-E554AC2F173D}"/>
    <hyperlink ref="H5" r:id="rId2" xr:uid="{1B8DBD97-7B5B-4A92-BE9F-D7B7184A7A83}"/>
    <hyperlink ref="H7" r:id="rId3" xr:uid="{E48CAC19-B4FF-4B89-A5D5-3B0FA5007B19}"/>
    <hyperlink ref="H6" r:id="rId4" xr:uid="{CCE8B49C-8FEE-473C-BF4D-E34039F95067}"/>
    <hyperlink ref="H8" r:id="rId5" xr:uid="{210F68CB-39B1-4749-919F-B37122999F3F}"/>
    <hyperlink ref="H9" r:id="rId6" display="BNP Paribas Forts" xr:uid="{AC809478-FABD-4089-AA5B-B6B98DA48AF0}"/>
    <hyperlink ref="H12" r:id="rId7" xr:uid="{3BF19562-E952-44FB-B885-3A81BB1C2280}"/>
  </hyperlinks>
  <pageMargins left="0.7" right="0.7" top="0.75" bottom="0.75" header="0.3" footer="0.3"/>
  <pageSetup paperSize="9" scale="40" orientation="portrait"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5E229-D243-4920-9DC9-3E68BF3ACF82}">
  <sheetPr>
    <tabColor theme="6" tint="0.39997558519241921"/>
  </sheetPr>
  <dimension ref="A1:L318"/>
  <sheetViews>
    <sheetView workbookViewId="0"/>
  </sheetViews>
  <sheetFormatPr defaultColWidth="8.85546875" defaultRowHeight="12.75" x14ac:dyDescent="0.2"/>
  <cols>
    <col min="1" max="5" width="29.7109375" style="15" customWidth="1"/>
    <col min="6" max="6" width="4.85546875" style="15" customWidth="1"/>
    <col min="7" max="7" width="28.5703125" style="15" customWidth="1"/>
    <col min="8" max="8" width="23.28515625" style="15" customWidth="1"/>
    <col min="9" max="11" width="8.85546875" style="15"/>
    <col min="12" max="12" width="10.28515625" style="15" bestFit="1" customWidth="1"/>
    <col min="13" max="255" width="8.85546875" style="15"/>
    <col min="256" max="260" width="18.140625" style="15" customWidth="1"/>
    <col min="261" max="263" width="8.85546875" style="15"/>
    <col min="264" max="264" width="13.85546875" style="15" customWidth="1"/>
    <col min="265" max="511" width="8.85546875" style="15"/>
    <col min="512" max="516" width="18.140625" style="15" customWidth="1"/>
    <col min="517" max="519" width="8.85546875" style="15"/>
    <col min="520" max="520" width="13.85546875" style="15" customWidth="1"/>
    <col min="521" max="767" width="8.85546875" style="15"/>
    <col min="768" max="772" width="18.140625" style="15" customWidth="1"/>
    <col min="773" max="775" width="8.85546875" style="15"/>
    <col min="776" max="776" width="13.85546875" style="15" customWidth="1"/>
    <col min="777" max="1023" width="8.85546875" style="15"/>
    <col min="1024" max="1028" width="18.140625" style="15" customWidth="1"/>
    <col min="1029" max="1031" width="8.85546875" style="15"/>
    <col min="1032" max="1032" width="13.85546875" style="15" customWidth="1"/>
    <col min="1033" max="1279" width="8.85546875" style="15"/>
    <col min="1280" max="1284" width="18.140625" style="15" customWidth="1"/>
    <col min="1285" max="1287" width="8.85546875" style="15"/>
    <col min="1288" max="1288" width="13.85546875" style="15" customWidth="1"/>
    <col min="1289" max="1535" width="8.85546875" style="15"/>
    <col min="1536" max="1540" width="18.140625" style="15" customWidth="1"/>
    <col min="1541" max="1543" width="8.85546875" style="15"/>
    <col min="1544" max="1544" width="13.85546875" style="15" customWidth="1"/>
    <col min="1545" max="1791" width="8.85546875" style="15"/>
    <col min="1792" max="1796" width="18.140625" style="15" customWidth="1"/>
    <col min="1797" max="1799" width="8.85546875" style="15"/>
    <col min="1800" max="1800" width="13.85546875" style="15" customWidth="1"/>
    <col min="1801" max="2047" width="8.85546875" style="15"/>
    <col min="2048" max="2052" width="18.140625" style="15" customWidth="1"/>
    <col min="2053" max="2055" width="8.85546875" style="15"/>
    <col min="2056" max="2056" width="13.85546875" style="15" customWidth="1"/>
    <col min="2057" max="2303" width="8.85546875" style="15"/>
    <col min="2304" max="2308" width="18.140625" style="15" customWidth="1"/>
    <col min="2309" max="2311" width="8.85546875" style="15"/>
    <col min="2312" max="2312" width="13.85546875" style="15" customWidth="1"/>
    <col min="2313" max="2559" width="8.85546875" style="15"/>
    <col min="2560" max="2564" width="18.140625" style="15" customWidth="1"/>
    <col min="2565" max="2567" width="8.85546875" style="15"/>
    <col min="2568" max="2568" width="13.85546875" style="15" customWidth="1"/>
    <col min="2569" max="2815" width="8.85546875" style="15"/>
    <col min="2816" max="2820" width="18.140625" style="15" customWidth="1"/>
    <col min="2821" max="2823" width="8.85546875" style="15"/>
    <col min="2824" max="2824" width="13.85546875" style="15" customWidth="1"/>
    <col min="2825" max="3071" width="8.85546875" style="15"/>
    <col min="3072" max="3076" width="18.140625" style="15" customWidth="1"/>
    <col min="3077" max="3079" width="8.85546875" style="15"/>
    <col min="3080" max="3080" width="13.85546875" style="15" customWidth="1"/>
    <col min="3081" max="3327" width="8.85546875" style="15"/>
    <col min="3328" max="3332" width="18.140625" style="15" customWidth="1"/>
    <col min="3333" max="3335" width="8.85546875" style="15"/>
    <col min="3336" max="3336" width="13.85546875" style="15" customWidth="1"/>
    <col min="3337" max="3583" width="8.85546875" style="15"/>
    <col min="3584" max="3588" width="18.140625" style="15" customWidth="1"/>
    <col min="3589" max="3591" width="8.85546875" style="15"/>
    <col min="3592" max="3592" width="13.85546875" style="15" customWidth="1"/>
    <col min="3593" max="3839" width="8.85546875" style="15"/>
    <col min="3840" max="3844" width="18.140625" style="15" customWidth="1"/>
    <col min="3845" max="3847" width="8.85546875" style="15"/>
    <col min="3848" max="3848" width="13.85546875" style="15" customWidth="1"/>
    <col min="3849" max="4095" width="8.85546875" style="15"/>
    <col min="4096" max="4100" width="18.140625" style="15" customWidth="1"/>
    <col min="4101" max="4103" width="8.85546875" style="15"/>
    <col min="4104" max="4104" width="13.85546875" style="15" customWidth="1"/>
    <col min="4105" max="4351" width="8.85546875" style="15"/>
    <col min="4352" max="4356" width="18.140625" style="15" customWidth="1"/>
    <col min="4357" max="4359" width="8.85546875" style="15"/>
    <col min="4360" max="4360" width="13.85546875" style="15" customWidth="1"/>
    <col min="4361" max="4607" width="8.85546875" style="15"/>
    <col min="4608" max="4612" width="18.140625" style="15" customWidth="1"/>
    <col min="4613" max="4615" width="8.85546875" style="15"/>
    <col min="4616" max="4616" width="13.85546875" style="15" customWidth="1"/>
    <col min="4617" max="4863" width="8.85546875" style="15"/>
    <col min="4864" max="4868" width="18.140625" style="15" customWidth="1"/>
    <col min="4869" max="4871" width="8.85546875" style="15"/>
    <col min="4872" max="4872" width="13.85546875" style="15" customWidth="1"/>
    <col min="4873" max="5119" width="8.85546875" style="15"/>
    <col min="5120" max="5124" width="18.140625" style="15" customWidth="1"/>
    <col min="5125" max="5127" width="8.85546875" style="15"/>
    <col min="5128" max="5128" width="13.85546875" style="15" customWidth="1"/>
    <col min="5129" max="5375" width="8.85546875" style="15"/>
    <col min="5376" max="5380" width="18.140625" style="15" customWidth="1"/>
    <col min="5381" max="5383" width="8.85546875" style="15"/>
    <col min="5384" max="5384" width="13.85546875" style="15" customWidth="1"/>
    <col min="5385" max="5631" width="8.85546875" style="15"/>
    <col min="5632" max="5636" width="18.140625" style="15" customWidth="1"/>
    <col min="5637" max="5639" width="8.85546875" style="15"/>
    <col min="5640" max="5640" width="13.85546875" style="15" customWidth="1"/>
    <col min="5641" max="5887" width="8.85546875" style="15"/>
    <col min="5888" max="5892" width="18.140625" style="15" customWidth="1"/>
    <col min="5893" max="5895" width="8.85546875" style="15"/>
    <col min="5896" max="5896" width="13.85546875" style="15" customWidth="1"/>
    <col min="5897" max="6143" width="8.85546875" style="15"/>
    <col min="6144" max="6148" width="18.140625" style="15" customWidth="1"/>
    <col min="6149" max="6151" width="8.85546875" style="15"/>
    <col min="6152" max="6152" width="13.85546875" style="15" customWidth="1"/>
    <col min="6153" max="6399" width="8.85546875" style="15"/>
    <col min="6400" max="6404" width="18.140625" style="15" customWidth="1"/>
    <col min="6405" max="6407" width="8.85546875" style="15"/>
    <col min="6408" max="6408" width="13.85546875" style="15" customWidth="1"/>
    <col min="6409" max="6655" width="8.85546875" style="15"/>
    <col min="6656" max="6660" width="18.140625" style="15" customWidth="1"/>
    <col min="6661" max="6663" width="8.85546875" style="15"/>
    <col min="6664" max="6664" width="13.85546875" style="15" customWidth="1"/>
    <col min="6665" max="6911" width="8.85546875" style="15"/>
    <col min="6912" max="6916" width="18.140625" style="15" customWidth="1"/>
    <col min="6917" max="6919" width="8.85546875" style="15"/>
    <col min="6920" max="6920" width="13.85546875" style="15" customWidth="1"/>
    <col min="6921" max="7167" width="8.85546875" style="15"/>
    <col min="7168" max="7172" width="18.140625" style="15" customWidth="1"/>
    <col min="7173" max="7175" width="8.85546875" style="15"/>
    <col min="7176" max="7176" width="13.85546875" style="15" customWidth="1"/>
    <col min="7177" max="7423" width="8.85546875" style="15"/>
    <col min="7424" max="7428" width="18.140625" style="15" customWidth="1"/>
    <col min="7429" max="7431" width="8.85546875" style="15"/>
    <col min="7432" max="7432" width="13.85546875" style="15" customWidth="1"/>
    <col min="7433" max="7679" width="8.85546875" style="15"/>
    <col min="7680" max="7684" width="18.140625" style="15" customWidth="1"/>
    <col min="7685" max="7687" width="8.85546875" style="15"/>
    <col min="7688" max="7688" width="13.85546875" style="15" customWidth="1"/>
    <col min="7689" max="7935" width="8.85546875" style="15"/>
    <col min="7936" max="7940" width="18.140625" style="15" customWidth="1"/>
    <col min="7941" max="7943" width="8.85546875" style="15"/>
    <col min="7944" max="7944" width="13.85546875" style="15" customWidth="1"/>
    <col min="7945" max="8191" width="8.85546875" style="15"/>
    <col min="8192" max="8196" width="18.140625" style="15" customWidth="1"/>
    <col min="8197" max="8199" width="8.85546875" style="15"/>
    <col min="8200" max="8200" width="13.85546875" style="15" customWidth="1"/>
    <col min="8201" max="8447" width="8.85546875" style="15"/>
    <col min="8448" max="8452" width="18.140625" style="15" customWidth="1"/>
    <col min="8453" max="8455" width="8.85546875" style="15"/>
    <col min="8456" max="8456" width="13.85546875" style="15" customWidth="1"/>
    <col min="8457" max="8703" width="8.85546875" style="15"/>
    <col min="8704" max="8708" width="18.140625" style="15" customWidth="1"/>
    <col min="8709" max="8711" width="8.85546875" style="15"/>
    <col min="8712" max="8712" width="13.85546875" style="15" customWidth="1"/>
    <col min="8713" max="8959" width="8.85546875" style="15"/>
    <col min="8960" max="8964" width="18.140625" style="15" customWidth="1"/>
    <col min="8965" max="8967" width="8.85546875" style="15"/>
    <col min="8968" max="8968" width="13.85546875" style="15" customWidth="1"/>
    <col min="8969" max="9215" width="8.85546875" style="15"/>
    <col min="9216" max="9220" width="18.140625" style="15" customWidth="1"/>
    <col min="9221" max="9223" width="8.85546875" style="15"/>
    <col min="9224" max="9224" width="13.85546875" style="15" customWidth="1"/>
    <col min="9225" max="9471" width="8.85546875" style="15"/>
    <col min="9472" max="9476" width="18.140625" style="15" customWidth="1"/>
    <col min="9477" max="9479" width="8.85546875" style="15"/>
    <col min="9480" max="9480" width="13.85546875" style="15" customWidth="1"/>
    <col min="9481" max="9727" width="8.85546875" style="15"/>
    <col min="9728" max="9732" width="18.140625" style="15" customWidth="1"/>
    <col min="9733" max="9735" width="8.85546875" style="15"/>
    <col min="9736" max="9736" width="13.85546875" style="15" customWidth="1"/>
    <col min="9737" max="9983" width="8.85546875" style="15"/>
    <col min="9984" max="9988" width="18.140625" style="15" customWidth="1"/>
    <col min="9989" max="9991" width="8.85546875" style="15"/>
    <col min="9992" max="9992" width="13.85546875" style="15" customWidth="1"/>
    <col min="9993" max="10239" width="8.85546875" style="15"/>
    <col min="10240" max="10244" width="18.140625" style="15" customWidth="1"/>
    <col min="10245" max="10247" width="8.85546875" style="15"/>
    <col min="10248" max="10248" width="13.85546875" style="15" customWidth="1"/>
    <col min="10249" max="10495" width="8.85546875" style="15"/>
    <col min="10496" max="10500" width="18.140625" style="15" customWidth="1"/>
    <col min="10501" max="10503" width="8.85546875" style="15"/>
    <col min="10504" max="10504" width="13.85546875" style="15" customWidth="1"/>
    <col min="10505" max="10751" width="8.85546875" style="15"/>
    <col min="10752" max="10756" width="18.140625" style="15" customWidth="1"/>
    <col min="10757" max="10759" width="8.85546875" style="15"/>
    <col min="10760" max="10760" width="13.85546875" style="15" customWidth="1"/>
    <col min="10761" max="11007" width="8.85546875" style="15"/>
    <col min="11008" max="11012" width="18.140625" style="15" customWidth="1"/>
    <col min="11013" max="11015" width="8.85546875" style="15"/>
    <col min="11016" max="11016" width="13.85546875" style="15" customWidth="1"/>
    <col min="11017" max="11263" width="8.85546875" style="15"/>
    <col min="11264" max="11268" width="18.140625" style="15" customWidth="1"/>
    <col min="11269" max="11271" width="8.85546875" style="15"/>
    <col min="11272" max="11272" width="13.85546875" style="15" customWidth="1"/>
    <col min="11273" max="11519" width="8.85546875" style="15"/>
    <col min="11520" max="11524" width="18.140625" style="15" customWidth="1"/>
    <col min="11525" max="11527" width="8.85546875" style="15"/>
    <col min="11528" max="11528" width="13.85546875" style="15" customWidth="1"/>
    <col min="11529" max="11775" width="8.85546875" style="15"/>
    <col min="11776" max="11780" width="18.140625" style="15" customWidth="1"/>
    <col min="11781" max="11783" width="8.85546875" style="15"/>
    <col min="11784" max="11784" width="13.85546875" style="15" customWidth="1"/>
    <col min="11785" max="12031" width="8.85546875" style="15"/>
    <col min="12032" max="12036" width="18.140625" style="15" customWidth="1"/>
    <col min="12037" max="12039" width="8.85546875" style="15"/>
    <col min="12040" max="12040" width="13.85546875" style="15" customWidth="1"/>
    <col min="12041" max="12287" width="8.85546875" style="15"/>
    <col min="12288" max="12292" width="18.140625" style="15" customWidth="1"/>
    <col min="12293" max="12295" width="8.85546875" style="15"/>
    <col min="12296" max="12296" width="13.85546875" style="15" customWidth="1"/>
    <col min="12297" max="12543" width="8.85546875" style="15"/>
    <col min="12544" max="12548" width="18.140625" style="15" customWidth="1"/>
    <col min="12549" max="12551" width="8.85546875" style="15"/>
    <col min="12552" max="12552" width="13.85546875" style="15" customWidth="1"/>
    <col min="12553" max="12799" width="8.85546875" style="15"/>
    <col min="12800" max="12804" width="18.140625" style="15" customWidth="1"/>
    <col min="12805" max="12807" width="8.85546875" style="15"/>
    <col min="12808" max="12808" width="13.85546875" style="15" customWidth="1"/>
    <col min="12809" max="13055" width="8.85546875" style="15"/>
    <col min="13056" max="13060" width="18.140625" style="15" customWidth="1"/>
    <col min="13061" max="13063" width="8.85546875" style="15"/>
    <col min="13064" max="13064" width="13.85546875" style="15" customWidth="1"/>
    <col min="13065" max="13311" width="8.85546875" style="15"/>
    <col min="13312" max="13316" width="18.140625" style="15" customWidth="1"/>
    <col min="13317" max="13319" width="8.85546875" style="15"/>
    <col min="13320" max="13320" width="13.85546875" style="15" customWidth="1"/>
    <col min="13321" max="13567" width="8.85546875" style="15"/>
    <col min="13568" max="13572" width="18.140625" style="15" customWidth="1"/>
    <col min="13573" max="13575" width="8.85546875" style="15"/>
    <col min="13576" max="13576" width="13.85546875" style="15" customWidth="1"/>
    <col min="13577" max="13823" width="8.85546875" style="15"/>
    <col min="13824" max="13828" width="18.140625" style="15" customWidth="1"/>
    <col min="13829" max="13831" width="8.85546875" style="15"/>
    <col min="13832" max="13832" width="13.85546875" style="15" customWidth="1"/>
    <col min="13833" max="14079" width="8.85546875" style="15"/>
    <col min="14080" max="14084" width="18.140625" style="15" customWidth="1"/>
    <col min="14085" max="14087" width="8.85546875" style="15"/>
    <col min="14088" max="14088" width="13.85546875" style="15" customWidth="1"/>
    <col min="14089" max="14335" width="8.85546875" style="15"/>
    <col min="14336" max="14340" width="18.140625" style="15" customWidth="1"/>
    <col min="14341" max="14343" width="8.85546875" style="15"/>
    <col min="14344" max="14344" width="13.85546875" style="15" customWidth="1"/>
    <col min="14345" max="14591" width="8.85546875" style="15"/>
    <col min="14592" max="14596" width="18.140625" style="15" customWidth="1"/>
    <col min="14597" max="14599" width="8.85546875" style="15"/>
    <col min="14600" max="14600" width="13.85546875" style="15" customWidth="1"/>
    <col min="14601" max="14847" width="8.85546875" style="15"/>
    <col min="14848" max="14852" width="18.140625" style="15" customWidth="1"/>
    <col min="14853" max="14855" width="8.85546875" style="15"/>
    <col min="14856" max="14856" width="13.85546875" style="15" customWidth="1"/>
    <col min="14857" max="15103" width="8.85546875" style="15"/>
    <col min="15104" max="15108" width="18.140625" style="15" customWidth="1"/>
    <col min="15109" max="15111" width="8.85546875" style="15"/>
    <col min="15112" max="15112" width="13.85546875" style="15" customWidth="1"/>
    <col min="15113" max="15359" width="8.85546875" style="15"/>
    <col min="15360" max="15364" width="18.140625" style="15" customWidth="1"/>
    <col min="15365" max="15367" width="8.85546875" style="15"/>
    <col min="15368" max="15368" width="13.85546875" style="15" customWidth="1"/>
    <col min="15369" max="15615" width="8.85546875" style="15"/>
    <col min="15616" max="15620" width="18.140625" style="15" customWidth="1"/>
    <col min="15621" max="15623" width="8.85546875" style="15"/>
    <col min="15624" max="15624" width="13.85546875" style="15" customWidth="1"/>
    <col min="15625" max="15871" width="8.85546875" style="15"/>
    <col min="15872" max="15876" width="18.140625" style="15" customWidth="1"/>
    <col min="15877" max="15879" width="8.85546875" style="15"/>
    <col min="15880" max="15880" width="13.85546875" style="15" customWidth="1"/>
    <col min="15881" max="16127" width="8.85546875" style="15"/>
    <col min="16128" max="16132" width="18.140625" style="15" customWidth="1"/>
    <col min="16133" max="16135" width="8.85546875" style="15"/>
    <col min="16136" max="16136" width="13.85546875" style="15" customWidth="1"/>
    <col min="16137" max="16384" width="8.85546875" style="15"/>
  </cols>
  <sheetData>
    <row r="1" spans="1:12" s="14" customFormat="1" ht="20.25" x14ac:dyDescent="0.3">
      <c r="A1" s="13" t="s">
        <v>161</v>
      </c>
    </row>
    <row r="2" spans="1:12" ht="13.5" customHeight="1" x14ac:dyDescent="0.2">
      <c r="A2" s="15" t="s">
        <v>183</v>
      </c>
    </row>
    <row r="3" spans="1:12" ht="13.5" customHeight="1" x14ac:dyDescent="0.2">
      <c r="A3" s="16"/>
    </row>
    <row r="4" spans="1:12" x14ac:dyDescent="0.2">
      <c r="A4" s="60" t="s">
        <v>108</v>
      </c>
      <c r="B4" s="76">
        <f>Berekening!E45</f>
        <v>68117</v>
      </c>
      <c r="D4" s="60" t="s">
        <v>162</v>
      </c>
      <c r="E4" s="75"/>
      <c r="G4" s="173" t="s">
        <v>184</v>
      </c>
      <c r="H4" s="17" t="s">
        <v>185</v>
      </c>
    </row>
    <row r="5" spans="1:12" x14ac:dyDescent="0.2">
      <c r="A5" s="60" t="s">
        <v>163</v>
      </c>
      <c r="B5" s="59">
        <f>B6*12</f>
        <v>240</v>
      </c>
      <c r="D5" s="133" t="s">
        <v>164</v>
      </c>
      <c r="E5" s="74">
        <f>MAX(B4*1.5%,E14)+(E13*Quotiteiten!C4)</f>
        <v>1081.7550000000001</v>
      </c>
      <c r="G5" s="174" t="s">
        <v>186</v>
      </c>
      <c r="H5" s="17" t="s">
        <v>187</v>
      </c>
    </row>
    <row r="6" spans="1:12" x14ac:dyDescent="0.2">
      <c r="A6" s="60" t="s">
        <v>165</v>
      </c>
      <c r="B6" s="162">
        <v>20</v>
      </c>
      <c r="D6" s="133" t="s">
        <v>166</v>
      </c>
      <c r="E6" s="135">
        <f>E5/Quotiteiten!D4</f>
        <v>1.1268281250000001</v>
      </c>
      <c r="H6" s="17" t="s">
        <v>188</v>
      </c>
    </row>
    <row r="7" spans="1:12" x14ac:dyDescent="0.2">
      <c r="A7" s="60" t="s">
        <v>167</v>
      </c>
      <c r="B7" s="77">
        <f>((1+B8)^(1/12))-1</f>
        <v>3.6748094004368514E-3</v>
      </c>
      <c r="H7" s="17" t="s">
        <v>189</v>
      </c>
    </row>
    <row r="8" spans="1:12" x14ac:dyDescent="0.2">
      <c r="A8" s="60" t="s">
        <v>168</v>
      </c>
      <c r="B8" s="164">
        <v>4.4999999999999998E-2</v>
      </c>
      <c r="D8" s="133" t="s">
        <v>169</v>
      </c>
      <c r="E8" s="165">
        <f>MAX(B4*3.5%,E14)+(E13*Quotiteiten!C4)</f>
        <v>2444.0950000000003</v>
      </c>
      <c r="H8" s="17" t="s">
        <v>190</v>
      </c>
    </row>
    <row r="9" spans="1:12" x14ac:dyDescent="0.2">
      <c r="A9" s="60" t="s">
        <v>170</v>
      </c>
      <c r="B9" s="76">
        <f>(B4*((1+B8)^(1/12)-1)*((1+B8)^(1/12))^B5)/(((1+B8)^(1/12))^B5-1)</f>
        <v>427.63122662973007</v>
      </c>
      <c r="D9" s="133" t="s">
        <v>171</v>
      </c>
      <c r="E9" s="136">
        <f>E8/Quotiteiten!D4</f>
        <v>2.5459322916666669</v>
      </c>
      <c r="H9" s="17" t="s">
        <v>191</v>
      </c>
    </row>
    <row r="10" spans="1:12" x14ac:dyDescent="0.2">
      <c r="A10" s="60" t="s">
        <v>172</v>
      </c>
      <c r="B10" s="76">
        <f>(B9*B5)-B4</f>
        <v>34514.494391135217</v>
      </c>
    </row>
    <row r="11" spans="1:12" x14ac:dyDescent="0.2">
      <c r="A11" s="118"/>
      <c r="B11" s="117"/>
      <c r="D11" s="133" t="s">
        <v>173</v>
      </c>
      <c r="E11" s="165">
        <f>MAX(B4*2.5%,E14)+(E13*Quotiteiten!C7)</f>
        <v>1702.9250000000002</v>
      </c>
    </row>
    <row r="12" spans="1:12" x14ac:dyDescent="0.2">
      <c r="A12" s="60" t="s">
        <v>174</v>
      </c>
      <c r="B12" s="76">
        <f>B9*B5</f>
        <v>102631.49439113522</v>
      </c>
      <c r="G12" s="173" t="s">
        <v>192</v>
      </c>
      <c r="H12" s="17" t="s">
        <v>193</v>
      </c>
    </row>
    <row r="13" spans="1:12" x14ac:dyDescent="0.2">
      <c r="A13" s="61" t="s">
        <v>175</v>
      </c>
      <c r="B13" s="74">
        <f>B4</f>
        <v>68117</v>
      </c>
      <c r="D13" s="21" t="s">
        <v>176</v>
      </c>
      <c r="E13" s="160">
        <v>6</v>
      </c>
      <c r="G13" s="173"/>
    </row>
    <row r="14" spans="1:12" x14ac:dyDescent="0.2">
      <c r="A14" s="61" t="s">
        <v>177</v>
      </c>
      <c r="B14" s="74">
        <f>B12-B13</f>
        <v>34514.494391135217</v>
      </c>
      <c r="D14" s="21" t="s">
        <v>178</v>
      </c>
      <c r="E14" s="160">
        <v>546</v>
      </c>
    </row>
    <row r="15" spans="1:12" x14ac:dyDescent="0.2">
      <c r="A15" s="21"/>
      <c r="B15" s="33"/>
      <c r="C15" s="34"/>
    </row>
    <row r="16" spans="1:12" ht="30" customHeight="1" x14ac:dyDescent="0.2">
      <c r="A16" s="18" t="s">
        <v>179</v>
      </c>
      <c r="B16" s="18" t="s">
        <v>180</v>
      </c>
      <c r="C16" s="18" t="s">
        <v>181</v>
      </c>
      <c r="D16" s="18" t="s">
        <v>177</v>
      </c>
      <c r="E16" s="18" t="s">
        <v>182</v>
      </c>
      <c r="L16" s="37"/>
    </row>
    <row r="17" spans="1:5" x14ac:dyDescent="0.2">
      <c r="A17" s="22">
        <v>0</v>
      </c>
      <c r="B17" s="23"/>
      <c r="C17" s="23"/>
      <c r="D17" s="23"/>
      <c r="E17" s="32">
        <f>B4</f>
        <v>68117</v>
      </c>
    </row>
    <row r="18" spans="1:5" s="19" customFormat="1" x14ac:dyDescent="0.2">
      <c r="A18" s="22">
        <v>1</v>
      </c>
      <c r="B18" s="23">
        <f>B$9</f>
        <v>427.63122662973007</v>
      </c>
      <c r="C18" s="23">
        <f>B18-D18</f>
        <v>177.31423470017305</v>
      </c>
      <c r="D18" s="23">
        <f t="shared" ref="D18:D81" si="0">E17*B$7</f>
        <v>250.31699192955702</v>
      </c>
      <c r="E18" s="31">
        <f>E17-C18</f>
        <v>67939.68576529983</v>
      </c>
    </row>
    <row r="19" spans="1:5" s="19" customFormat="1" x14ac:dyDescent="0.2">
      <c r="A19" s="22">
        <v>2</v>
      </c>
      <c r="B19" s="23">
        <f t="shared" ref="B19:B82" si="1">B$9</f>
        <v>427.63122662973007</v>
      </c>
      <c r="C19" s="23">
        <f t="shared" ref="C19:C82" si="2">B19-D19</f>
        <v>177.9658307166805</v>
      </c>
      <c r="D19" s="23">
        <f t="shared" si="0"/>
        <v>249.66539591304957</v>
      </c>
      <c r="E19" s="31">
        <f t="shared" ref="E19:E82" si="3">E18-C19</f>
        <v>67761.719934583147</v>
      </c>
    </row>
    <row r="20" spans="1:5" s="19" customFormat="1" x14ac:dyDescent="0.2">
      <c r="A20" s="22">
        <v>3</v>
      </c>
      <c r="B20" s="23">
        <f t="shared" si="1"/>
        <v>427.63122662973007</v>
      </c>
      <c r="C20" s="23">
        <f t="shared" si="2"/>
        <v>178.61982122435472</v>
      </c>
      <c r="D20" s="23">
        <f t="shared" si="0"/>
        <v>249.01140540537534</v>
      </c>
      <c r="E20" s="31">
        <f t="shared" si="3"/>
        <v>67583.100113358785</v>
      </c>
    </row>
    <row r="21" spans="1:5" s="19" customFormat="1" x14ac:dyDescent="0.2">
      <c r="A21" s="22">
        <v>4</v>
      </c>
      <c r="B21" s="23">
        <f t="shared" si="1"/>
        <v>427.63122662973007</v>
      </c>
      <c r="C21" s="23">
        <f t="shared" si="2"/>
        <v>179.27621502249437</v>
      </c>
      <c r="D21" s="23">
        <f t="shared" si="0"/>
        <v>248.3550116072357</v>
      </c>
      <c r="E21" s="31">
        <f t="shared" si="3"/>
        <v>67403.823898336297</v>
      </c>
    </row>
    <row r="22" spans="1:5" s="19" customFormat="1" x14ac:dyDescent="0.2">
      <c r="A22" s="22">
        <v>5</v>
      </c>
      <c r="B22" s="23">
        <f t="shared" si="1"/>
        <v>427.63122662973007</v>
      </c>
      <c r="C22" s="23">
        <f t="shared" si="2"/>
        <v>179.93502094273373</v>
      </c>
      <c r="D22" s="23">
        <f t="shared" si="0"/>
        <v>247.69620568699634</v>
      </c>
      <c r="E22" s="31">
        <f t="shared" si="3"/>
        <v>67223.888877393561</v>
      </c>
    </row>
    <row r="23" spans="1:5" s="19" customFormat="1" x14ac:dyDescent="0.2">
      <c r="A23" s="22">
        <v>6</v>
      </c>
      <c r="B23" s="23">
        <f t="shared" si="1"/>
        <v>427.63122662973007</v>
      </c>
      <c r="C23" s="23">
        <f t="shared" si="2"/>
        <v>180.5962478491619</v>
      </c>
      <c r="D23" s="23">
        <f t="shared" si="0"/>
        <v>247.03497878056817</v>
      </c>
      <c r="E23" s="31">
        <f t="shared" si="3"/>
        <v>67043.292629544405</v>
      </c>
    </row>
    <row r="24" spans="1:5" s="19" customFormat="1" x14ac:dyDescent="0.2">
      <c r="A24" s="22">
        <v>7</v>
      </c>
      <c r="B24" s="23">
        <f t="shared" si="1"/>
        <v>427.63122662973007</v>
      </c>
      <c r="C24" s="23">
        <f t="shared" si="2"/>
        <v>181.25990463844161</v>
      </c>
      <c r="D24" s="23">
        <f t="shared" si="0"/>
        <v>246.37132199128845</v>
      </c>
      <c r="E24" s="31">
        <f t="shared" si="3"/>
        <v>66862.032724905963</v>
      </c>
    </row>
    <row r="25" spans="1:5" s="19" customFormat="1" x14ac:dyDescent="0.2">
      <c r="A25" s="22">
        <v>8</v>
      </c>
      <c r="B25" s="23">
        <f t="shared" si="1"/>
        <v>427.63122662973007</v>
      </c>
      <c r="C25" s="23">
        <f t="shared" si="2"/>
        <v>181.92600023992924</v>
      </c>
      <c r="D25" s="23">
        <f t="shared" si="0"/>
        <v>245.70522638980083</v>
      </c>
      <c r="E25" s="31">
        <f t="shared" si="3"/>
        <v>66680.106724666039</v>
      </c>
    </row>
    <row r="26" spans="1:5" s="19" customFormat="1" x14ac:dyDescent="0.2">
      <c r="A26" s="22">
        <v>9</v>
      </c>
      <c r="B26" s="23">
        <f t="shared" si="1"/>
        <v>427.63122662973007</v>
      </c>
      <c r="C26" s="23">
        <f t="shared" si="2"/>
        <v>182.59454361579481</v>
      </c>
      <c r="D26" s="23">
        <f t="shared" si="0"/>
        <v>245.03668301393526</v>
      </c>
      <c r="E26" s="31">
        <f t="shared" si="3"/>
        <v>66497.512181050246</v>
      </c>
    </row>
    <row r="27" spans="1:5" s="19" customFormat="1" x14ac:dyDescent="0.2">
      <c r="A27" s="22">
        <v>10</v>
      </c>
      <c r="B27" s="23">
        <f t="shared" si="1"/>
        <v>427.63122662973007</v>
      </c>
      <c r="C27" s="23">
        <f t="shared" si="2"/>
        <v>183.2655437611426</v>
      </c>
      <c r="D27" s="23">
        <f t="shared" si="0"/>
        <v>244.36568286858747</v>
      </c>
      <c r="E27" s="31">
        <f t="shared" si="3"/>
        <v>66314.246637289107</v>
      </c>
    </row>
    <row r="28" spans="1:5" s="19" customFormat="1" x14ac:dyDescent="0.2">
      <c r="A28" s="22">
        <v>11</v>
      </c>
      <c r="B28" s="23">
        <f t="shared" si="1"/>
        <v>427.63122662973007</v>
      </c>
      <c r="C28" s="23">
        <f t="shared" si="2"/>
        <v>183.93900970413219</v>
      </c>
      <c r="D28" s="23">
        <f t="shared" si="0"/>
        <v>243.69221692559788</v>
      </c>
      <c r="E28" s="31">
        <f t="shared" si="3"/>
        <v>66130.307627584974</v>
      </c>
    </row>
    <row r="29" spans="1:5" s="19" customFormat="1" x14ac:dyDescent="0.2">
      <c r="A29" s="22">
        <v>12</v>
      </c>
      <c r="B29" s="23">
        <f t="shared" si="1"/>
        <v>427.63122662973007</v>
      </c>
      <c r="C29" s="23">
        <f t="shared" si="2"/>
        <v>184.61495050609997</v>
      </c>
      <c r="D29" s="23">
        <f t="shared" si="0"/>
        <v>243.01627612363009</v>
      </c>
      <c r="E29" s="31">
        <f t="shared" si="3"/>
        <v>65945.69267707887</v>
      </c>
    </row>
    <row r="30" spans="1:5" s="19" customFormat="1" x14ac:dyDescent="0.2">
      <c r="A30" s="22">
        <v>13</v>
      </c>
      <c r="B30" s="23">
        <f t="shared" si="1"/>
        <v>427.63122662973007</v>
      </c>
      <c r="C30" s="23">
        <f t="shared" si="2"/>
        <v>185.29337526168101</v>
      </c>
      <c r="D30" s="23">
        <f t="shared" si="0"/>
        <v>242.33785136804906</v>
      </c>
      <c r="E30" s="31">
        <f t="shared" si="3"/>
        <v>65760.39930181719</v>
      </c>
    </row>
    <row r="31" spans="1:5" s="19" customFormat="1" x14ac:dyDescent="0.2">
      <c r="A31" s="22">
        <v>14</v>
      </c>
      <c r="B31" s="23">
        <f t="shared" si="1"/>
        <v>427.63122662973007</v>
      </c>
      <c r="C31" s="23">
        <f t="shared" si="2"/>
        <v>185.9742930989313</v>
      </c>
      <c r="D31" s="23">
        <f t="shared" si="0"/>
        <v>241.65693353079877</v>
      </c>
      <c r="E31" s="31">
        <f t="shared" si="3"/>
        <v>65574.425008718259</v>
      </c>
    </row>
    <row r="32" spans="1:5" s="19" customFormat="1" x14ac:dyDescent="0.2">
      <c r="A32" s="22">
        <v>15</v>
      </c>
      <c r="B32" s="23">
        <f t="shared" si="1"/>
        <v>427.63122662973007</v>
      </c>
      <c r="C32" s="23">
        <f t="shared" si="2"/>
        <v>186.65771317945084</v>
      </c>
      <c r="D32" s="23">
        <f t="shared" si="0"/>
        <v>240.97351345027923</v>
      </c>
      <c r="E32" s="31">
        <f t="shared" si="3"/>
        <v>65387.767295538812</v>
      </c>
    </row>
    <row r="33" spans="1:5" s="19" customFormat="1" x14ac:dyDescent="0.2">
      <c r="A33" s="22">
        <v>16</v>
      </c>
      <c r="B33" s="23">
        <f t="shared" si="1"/>
        <v>427.63122662973007</v>
      </c>
      <c r="C33" s="23">
        <f t="shared" si="2"/>
        <v>187.34364469850672</v>
      </c>
      <c r="D33" s="23">
        <f t="shared" si="0"/>
        <v>240.28758193122334</v>
      </c>
      <c r="E33" s="31">
        <f t="shared" si="3"/>
        <v>65200.423650840305</v>
      </c>
    </row>
    <row r="34" spans="1:5" s="19" customFormat="1" x14ac:dyDescent="0.2">
      <c r="A34" s="22">
        <v>17</v>
      </c>
      <c r="B34" s="23">
        <f t="shared" si="1"/>
        <v>427.63122662973007</v>
      </c>
      <c r="C34" s="23">
        <f t="shared" si="2"/>
        <v>188.0320968851569</v>
      </c>
      <c r="D34" s="23">
        <f t="shared" si="0"/>
        <v>239.59912974457316</v>
      </c>
      <c r="E34" s="31">
        <f t="shared" si="3"/>
        <v>65012.391553955145</v>
      </c>
    </row>
    <row r="35" spans="1:5" s="19" customFormat="1" x14ac:dyDescent="0.2">
      <c r="A35" s="22">
        <v>18</v>
      </c>
      <c r="B35" s="23">
        <f t="shared" si="1"/>
        <v>427.63122662973007</v>
      </c>
      <c r="C35" s="23">
        <f t="shared" si="2"/>
        <v>188.72307900237433</v>
      </c>
      <c r="D35" s="23">
        <f t="shared" si="0"/>
        <v>238.90814762735573</v>
      </c>
      <c r="E35" s="31">
        <f t="shared" si="3"/>
        <v>64823.66847495277</v>
      </c>
    </row>
    <row r="36" spans="1:5" s="19" customFormat="1" x14ac:dyDescent="0.2">
      <c r="A36" s="22">
        <v>19</v>
      </c>
      <c r="B36" s="23">
        <f t="shared" si="1"/>
        <v>427.63122662973007</v>
      </c>
      <c r="C36" s="23">
        <f t="shared" si="2"/>
        <v>189.41660034717165</v>
      </c>
      <c r="D36" s="23">
        <f t="shared" si="0"/>
        <v>238.21462628255841</v>
      </c>
      <c r="E36" s="31">
        <f t="shared" si="3"/>
        <v>64634.251874605601</v>
      </c>
    </row>
    <row r="37" spans="1:5" s="19" customFormat="1" x14ac:dyDescent="0.2">
      <c r="A37" s="22">
        <v>20</v>
      </c>
      <c r="B37" s="23">
        <f t="shared" si="1"/>
        <v>427.63122662973007</v>
      </c>
      <c r="C37" s="23">
        <f t="shared" si="2"/>
        <v>190.11267025072621</v>
      </c>
      <c r="D37" s="23">
        <f t="shared" si="0"/>
        <v>237.51855637900385</v>
      </c>
      <c r="E37" s="31">
        <f t="shared" si="3"/>
        <v>64444.139204354877</v>
      </c>
    </row>
    <row r="38" spans="1:5" s="19" customFormat="1" x14ac:dyDescent="0.2">
      <c r="A38" s="22">
        <v>21</v>
      </c>
      <c r="B38" s="23">
        <f t="shared" si="1"/>
        <v>427.63122662973007</v>
      </c>
      <c r="C38" s="23">
        <f t="shared" si="2"/>
        <v>190.81129807850573</v>
      </c>
      <c r="D38" s="23">
        <f t="shared" si="0"/>
        <v>236.81992855122434</v>
      </c>
      <c r="E38" s="31">
        <f t="shared" si="3"/>
        <v>64253.327906276369</v>
      </c>
    </row>
    <row r="39" spans="1:5" s="19" customFormat="1" x14ac:dyDescent="0.2">
      <c r="A39" s="22">
        <v>22</v>
      </c>
      <c r="B39" s="23">
        <f t="shared" si="1"/>
        <v>427.63122662973007</v>
      </c>
      <c r="C39" s="23">
        <f t="shared" si="2"/>
        <v>191.5124932303942</v>
      </c>
      <c r="D39" s="23">
        <f t="shared" si="0"/>
        <v>236.11873339933587</v>
      </c>
      <c r="E39" s="31">
        <f t="shared" si="3"/>
        <v>64061.815413045973</v>
      </c>
    </row>
    <row r="40" spans="1:5" s="19" customFormat="1" x14ac:dyDescent="0.2">
      <c r="A40" s="22">
        <v>23</v>
      </c>
      <c r="B40" s="23">
        <f t="shared" si="1"/>
        <v>427.63122662973007</v>
      </c>
      <c r="C40" s="23">
        <f t="shared" si="2"/>
        <v>192.21626514081834</v>
      </c>
      <c r="D40" s="23">
        <f t="shared" si="0"/>
        <v>235.41496148891173</v>
      </c>
      <c r="E40" s="31">
        <f t="shared" si="3"/>
        <v>63869.599147905152</v>
      </c>
    </row>
    <row r="41" spans="1:5" s="19" customFormat="1" x14ac:dyDescent="0.2">
      <c r="A41" s="22">
        <v>24</v>
      </c>
      <c r="B41" s="23">
        <f t="shared" si="1"/>
        <v>427.63122662973007</v>
      </c>
      <c r="C41" s="23">
        <f t="shared" si="2"/>
        <v>192.92262327887471</v>
      </c>
      <c r="D41" s="23">
        <f t="shared" si="0"/>
        <v>234.70860335085536</v>
      </c>
      <c r="E41" s="31">
        <f t="shared" si="3"/>
        <v>63676.67652462628</v>
      </c>
    </row>
    <row r="42" spans="1:5" s="19" customFormat="1" x14ac:dyDescent="0.2">
      <c r="A42" s="22">
        <v>25</v>
      </c>
      <c r="B42" s="23">
        <f t="shared" si="1"/>
        <v>427.63122662973007</v>
      </c>
      <c r="C42" s="23">
        <f t="shared" si="2"/>
        <v>193.63157714845684</v>
      </c>
      <c r="D42" s="23">
        <f t="shared" si="0"/>
        <v>233.99964948127322</v>
      </c>
      <c r="E42" s="31">
        <f t="shared" si="3"/>
        <v>63483.044947477822</v>
      </c>
    </row>
    <row r="43" spans="1:5" s="19" customFormat="1" x14ac:dyDescent="0.2">
      <c r="A43" s="22">
        <v>26</v>
      </c>
      <c r="B43" s="23">
        <f t="shared" si="1"/>
        <v>427.63122662973007</v>
      </c>
      <c r="C43" s="23">
        <f t="shared" si="2"/>
        <v>194.34313628838339</v>
      </c>
      <c r="D43" s="23">
        <f t="shared" si="0"/>
        <v>233.28809034134667</v>
      </c>
      <c r="E43" s="31">
        <f t="shared" si="3"/>
        <v>63288.701811189436</v>
      </c>
    </row>
    <row r="44" spans="1:5" s="19" customFormat="1" x14ac:dyDescent="0.2">
      <c r="A44" s="22">
        <v>27</v>
      </c>
      <c r="B44" s="23">
        <f t="shared" si="1"/>
        <v>427.63122662973007</v>
      </c>
      <c r="C44" s="23">
        <f t="shared" si="2"/>
        <v>195.05731027252634</v>
      </c>
      <c r="D44" s="23">
        <f t="shared" si="0"/>
        <v>232.57391635720373</v>
      </c>
      <c r="E44" s="31">
        <f t="shared" si="3"/>
        <v>63093.644500916911</v>
      </c>
    </row>
    <row r="45" spans="1:5" s="19" customFormat="1" x14ac:dyDescent="0.2">
      <c r="A45" s="22">
        <v>28</v>
      </c>
      <c r="B45" s="23">
        <f t="shared" si="1"/>
        <v>427.63122662973007</v>
      </c>
      <c r="C45" s="23">
        <f t="shared" si="2"/>
        <v>195.77410870993975</v>
      </c>
      <c r="D45" s="23">
        <f t="shared" si="0"/>
        <v>231.85711791979031</v>
      </c>
      <c r="E45" s="31">
        <f t="shared" si="3"/>
        <v>62897.870392206969</v>
      </c>
    </row>
    <row r="46" spans="1:5" s="19" customFormat="1" x14ac:dyDescent="0.2">
      <c r="A46" s="22">
        <v>29</v>
      </c>
      <c r="B46" s="23">
        <f t="shared" si="1"/>
        <v>427.63122662973007</v>
      </c>
      <c r="C46" s="23">
        <f t="shared" si="2"/>
        <v>196.49354124498919</v>
      </c>
      <c r="D46" s="23">
        <f t="shared" si="0"/>
        <v>231.13768538474088</v>
      </c>
      <c r="E46" s="31">
        <f t="shared" si="3"/>
        <v>62701.376850961977</v>
      </c>
    </row>
    <row r="47" spans="1:5" s="19" customFormat="1" x14ac:dyDescent="0.2">
      <c r="A47" s="22">
        <v>30</v>
      </c>
      <c r="B47" s="23">
        <f t="shared" si="1"/>
        <v>427.63122662973007</v>
      </c>
      <c r="C47" s="23">
        <f t="shared" si="2"/>
        <v>197.21561755748141</v>
      </c>
      <c r="D47" s="23">
        <f t="shared" si="0"/>
        <v>230.41560907224866</v>
      </c>
      <c r="E47" s="31">
        <f t="shared" si="3"/>
        <v>62504.161233404498</v>
      </c>
    </row>
    <row r="48" spans="1:5" s="19" customFormat="1" x14ac:dyDescent="0.2">
      <c r="A48" s="22">
        <v>31</v>
      </c>
      <c r="B48" s="23">
        <f t="shared" si="1"/>
        <v>427.63122662973007</v>
      </c>
      <c r="C48" s="23">
        <f t="shared" si="2"/>
        <v>197.9403473627946</v>
      </c>
      <c r="D48" s="23">
        <f t="shared" si="0"/>
        <v>229.69087926693547</v>
      </c>
      <c r="E48" s="31">
        <f t="shared" si="3"/>
        <v>62306.220886041701</v>
      </c>
    </row>
    <row r="49" spans="1:5" s="19" customFormat="1" x14ac:dyDescent="0.2">
      <c r="A49" s="22">
        <v>32</v>
      </c>
      <c r="B49" s="23">
        <f t="shared" si="1"/>
        <v>427.63122662973007</v>
      </c>
      <c r="C49" s="23">
        <f t="shared" si="2"/>
        <v>198.66774041200912</v>
      </c>
      <c r="D49" s="23">
        <f t="shared" si="0"/>
        <v>228.96348621772094</v>
      </c>
      <c r="E49" s="31">
        <f t="shared" si="3"/>
        <v>62107.553145629696</v>
      </c>
    </row>
    <row r="50" spans="1:5" s="19" customFormat="1" x14ac:dyDescent="0.2">
      <c r="A50" s="22">
        <v>33</v>
      </c>
      <c r="B50" s="23">
        <f t="shared" si="1"/>
        <v>427.63122662973007</v>
      </c>
      <c r="C50" s="23">
        <f t="shared" si="2"/>
        <v>199.39780649203871</v>
      </c>
      <c r="D50" s="23">
        <f t="shared" si="0"/>
        <v>228.23342013769135</v>
      </c>
      <c r="E50" s="31">
        <f t="shared" si="3"/>
        <v>61908.155339137658</v>
      </c>
    </row>
    <row r="51" spans="1:5" s="19" customFormat="1" x14ac:dyDescent="0.2">
      <c r="A51" s="22">
        <v>34</v>
      </c>
      <c r="B51" s="23">
        <f t="shared" si="1"/>
        <v>427.63122662973007</v>
      </c>
      <c r="C51" s="23">
        <f t="shared" si="2"/>
        <v>200.13055542576214</v>
      </c>
      <c r="D51" s="23">
        <f t="shared" si="0"/>
        <v>227.50067120396793</v>
      </c>
      <c r="E51" s="31">
        <f t="shared" si="3"/>
        <v>61708.024783711895</v>
      </c>
    </row>
    <row r="52" spans="1:5" s="19" customFormat="1" x14ac:dyDescent="0.2">
      <c r="A52" s="22">
        <v>35</v>
      </c>
      <c r="B52" s="23">
        <f t="shared" si="1"/>
        <v>427.63122662973007</v>
      </c>
      <c r="C52" s="23">
        <f t="shared" si="2"/>
        <v>200.86599707215538</v>
      </c>
      <c r="D52" s="23">
        <f t="shared" si="0"/>
        <v>226.76522955757468</v>
      </c>
      <c r="E52" s="31">
        <f t="shared" si="3"/>
        <v>61507.158786639739</v>
      </c>
    </row>
    <row r="53" spans="1:5" s="19" customFormat="1" x14ac:dyDescent="0.2">
      <c r="A53" s="22">
        <v>36</v>
      </c>
      <c r="B53" s="23">
        <f t="shared" si="1"/>
        <v>427.63122662973007</v>
      </c>
      <c r="C53" s="23">
        <f t="shared" si="2"/>
        <v>201.60414132642427</v>
      </c>
      <c r="D53" s="23">
        <f t="shared" si="0"/>
        <v>226.0270853033058</v>
      </c>
      <c r="E53" s="31">
        <f t="shared" si="3"/>
        <v>61305.554645313314</v>
      </c>
    </row>
    <row r="54" spans="1:5" s="19" customFormat="1" x14ac:dyDescent="0.2">
      <c r="A54" s="22">
        <v>37</v>
      </c>
      <c r="B54" s="23">
        <f t="shared" si="1"/>
        <v>427.63122662973007</v>
      </c>
      <c r="C54" s="23">
        <f t="shared" si="2"/>
        <v>202.3449981201376</v>
      </c>
      <c r="D54" s="23">
        <f t="shared" si="0"/>
        <v>225.28622850959246</v>
      </c>
      <c r="E54" s="31">
        <f t="shared" si="3"/>
        <v>61103.209647193173</v>
      </c>
    </row>
    <row r="55" spans="1:5" s="19" customFormat="1" x14ac:dyDescent="0.2">
      <c r="A55" s="22">
        <v>38</v>
      </c>
      <c r="B55" s="23">
        <f t="shared" si="1"/>
        <v>427.63122662973007</v>
      </c>
      <c r="C55" s="23">
        <f t="shared" si="2"/>
        <v>203.0885774213609</v>
      </c>
      <c r="D55" s="23">
        <f t="shared" si="0"/>
        <v>224.54264920836917</v>
      </c>
      <c r="E55" s="31">
        <f t="shared" si="3"/>
        <v>60900.121069771812</v>
      </c>
    </row>
    <row r="56" spans="1:5" s="19" customFormat="1" x14ac:dyDescent="0.2">
      <c r="A56" s="22">
        <v>39</v>
      </c>
      <c r="B56" s="23">
        <f t="shared" si="1"/>
        <v>427.63122662973007</v>
      </c>
      <c r="C56" s="23">
        <f t="shared" si="2"/>
        <v>203.83488923479024</v>
      </c>
      <c r="D56" s="23">
        <f t="shared" si="0"/>
        <v>223.79633739493983</v>
      </c>
      <c r="E56" s="31">
        <f t="shared" si="3"/>
        <v>60696.286180537019</v>
      </c>
    </row>
    <row r="57" spans="1:5" s="19" customFormat="1" x14ac:dyDescent="0.2">
      <c r="A57" s="22">
        <v>40</v>
      </c>
      <c r="B57" s="23">
        <f t="shared" si="1"/>
        <v>427.63122662973007</v>
      </c>
      <c r="C57" s="23">
        <f t="shared" si="2"/>
        <v>204.58394360188726</v>
      </c>
      <c r="D57" s="23">
        <f t="shared" si="0"/>
        <v>223.04728302784281</v>
      </c>
      <c r="E57" s="31">
        <f t="shared" si="3"/>
        <v>60491.702236935133</v>
      </c>
    </row>
    <row r="58" spans="1:5" s="19" customFormat="1" x14ac:dyDescent="0.2">
      <c r="A58" s="22">
        <v>41</v>
      </c>
      <c r="B58" s="23">
        <f t="shared" si="1"/>
        <v>427.63122662973007</v>
      </c>
      <c r="C58" s="23">
        <f t="shared" si="2"/>
        <v>205.33575060101393</v>
      </c>
      <c r="D58" s="23">
        <f t="shared" si="0"/>
        <v>222.29547602871614</v>
      </c>
      <c r="E58" s="31">
        <f t="shared" si="3"/>
        <v>60286.366486334118</v>
      </c>
    </row>
    <row r="59" spans="1:5" s="19" customFormat="1" x14ac:dyDescent="0.2">
      <c r="A59" s="22">
        <v>42</v>
      </c>
      <c r="B59" s="23">
        <f t="shared" si="1"/>
        <v>427.63122662973007</v>
      </c>
      <c r="C59" s="23">
        <f t="shared" si="2"/>
        <v>206.09032034756828</v>
      </c>
      <c r="D59" s="23">
        <f t="shared" si="0"/>
        <v>221.54090628216179</v>
      </c>
      <c r="E59" s="31">
        <f t="shared" si="3"/>
        <v>60080.27616598655</v>
      </c>
    </row>
    <row r="60" spans="1:5" s="19" customFormat="1" x14ac:dyDescent="0.2">
      <c r="A60" s="22">
        <v>43</v>
      </c>
      <c r="B60" s="23">
        <f t="shared" si="1"/>
        <v>427.63122662973007</v>
      </c>
      <c r="C60" s="23">
        <f t="shared" si="2"/>
        <v>206.84766299412058</v>
      </c>
      <c r="D60" s="23">
        <f t="shared" si="0"/>
        <v>220.78356363560948</v>
      </c>
      <c r="E60" s="31">
        <f t="shared" si="3"/>
        <v>59873.428502992429</v>
      </c>
    </row>
    <row r="61" spans="1:5" s="19" customFormat="1" x14ac:dyDescent="0.2">
      <c r="A61" s="22">
        <v>44</v>
      </c>
      <c r="B61" s="23">
        <f t="shared" si="1"/>
        <v>427.63122662973007</v>
      </c>
      <c r="C61" s="23">
        <f t="shared" si="2"/>
        <v>207.60778873054977</v>
      </c>
      <c r="D61" s="23">
        <f t="shared" si="0"/>
        <v>220.02343789918029</v>
      </c>
      <c r="E61" s="31">
        <f t="shared" si="3"/>
        <v>59665.820714261878</v>
      </c>
    </row>
    <row r="62" spans="1:5" s="19" customFormat="1" x14ac:dyDescent="0.2">
      <c r="A62" s="22">
        <v>45</v>
      </c>
      <c r="B62" s="23">
        <f t="shared" si="1"/>
        <v>427.63122662973007</v>
      </c>
      <c r="C62" s="23">
        <f t="shared" si="2"/>
        <v>208.37070778418069</v>
      </c>
      <c r="D62" s="23">
        <f t="shared" si="0"/>
        <v>219.26051884554937</v>
      </c>
      <c r="E62" s="31">
        <f t="shared" si="3"/>
        <v>59457.450006477695</v>
      </c>
    </row>
    <row r="63" spans="1:5" s="19" customFormat="1" x14ac:dyDescent="0.2">
      <c r="A63" s="22">
        <v>46</v>
      </c>
      <c r="B63" s="23">
        <f t="shared" si="1"/>
        <v>427.63122662973007</v>
      </c>
      <c r="C63" s="23">
        <f t="shared" si="2"/>
        <v>209.13643041992171</v>
      </c>
      <c r="D63" s="23">
        <f t="shared" si="0"/>
        <v>218.49479620980836</v>
      </c>
      <c r="E63" s="31">
        <f t="shared" si="3"/>
        <v>59248.313576057772</v>
      </c>
    </row>
    <row r="64" spans="1:5" s="19" customFormat="1" x14ac:dyDescent="0.2">
      <c r="A64" s="22">
        <v>47</v>
      </c>
      <c r="B64" s="23">
        <f t="shared" si="1"/>
        <v>427.63122662973007</v>
      </c>
      <c r="C64" s="23">
        <f t="shared" si="2"/>
        <v>209.90496694040263</v>
      </c>
      <c r="D64" s="23">
        <f t="shared" si="0"/>
        <v>217.72625968932743</v>
      </c>
      <c r="E64" s="31">
        <f t="shared" si="3"/>
        <v>59038.408609117367</v>
      </c>
    </row>
    <row r="65" spans="1:5" s="19" customFormat="1" x14ac:dyDescent="0.2">
      <c r="A65" s="22">
        <v>48</v>
      </c>
      <c r="B65" s="23">
        <f t="shared" si="1"/>
        <v>427.63122662973007</v>
      </c>
      <c r="C65" s="23">
        <f t="shared" si="2"/>
        <v>210.67632768611364</v>
      </c>
      <c r="D65" s="23">
        <f t="shared" si="0"/>
        <v>216.95489894361643</v>
      </c>
      <c r="E65" s="31">
        <f t="shared" si="3"/>
        <v>58827.73228143125</v>
      </c>
    </row>
    <row r="66" spans="1:5" s="19" customFormat="1" x14ac:dyDescent="0.2">
      <c r="A66" s="22">
        <v>49</v>
      </c>
      <c r="B66" s="23">
        <f t="shared" si="1"/>
        <v>427.63122662973007</v>
      </c>
      <c r="C66" s="23">
        <f t="shared" si="2"/>
        <v>211.45052303554408</v>
      </c>
      <c r="D66" s="23">
        <f t="shared" si="0"/>
        <v>216.18070359418599</v>
      </c>
      <c r="E66" s="31">
        <f t="shared" si="3"/>
        <v>58616.281758395708</v>
      </c>
    </row>
    <row r="67" spans="1:5" s="19" customFormat="1" x14ac:dyDescent="0.2">
      <c r="A67" s="22">
        <v>50</v>
      </c>
      <c r="B67" s="23">
        <f t="shared" si="1"/>
        <v>427.63122662973007</v>
      </c>
      <c r="C67" s="23">
        <f t="shared" si="2"/>
        <v>212.22756340532237</v>
      </c>
      <c r="D67" s="23">
        <f t="shared" si="0"/>
        <v>215.40366322440769</v>
      </c>
      <c r="E67" s="31">
        <f t="shared" si="3"/>
        <v>58404.054194990385</v>
      </c>
    </row>
    <row r="68" spans="1:5" s="19" customFormat="1" x14ac:dyDescent="0.2">
      <c r="A68" s="22">
        <v>51</v>
      </c>
      <c r="B68" s="23">
        <f t="shared" si="1"/>
        <v>427.63122662973007</v>
      </c>
      <c r="C68" s="23">
        <f t="shared" si="2"/>
        <v>213.00745925035608</v>
      </c>
      <c r="D68" s="23">
        <f t="shared" si="0"/>
        <v>214.62376737937399</v>
      </c>
      <c r="E68" s="31">
        <f t="shared" si="3"/>
        <v>58191.046735740027</v>
      </c>
    </row>
    <row r="69" spans="1:5" s="19" customFormat="1" x14ac:dyDescent="0.2">
      <c r="A69" s="22">
        <v>52</v>
      </c>
      <c r="B69" s="23">
        <f t="shared" si="1"/>
        <v>427.63122662973007</v>
      </c>
      <c r="C69" s="23">
        <f t="shared" si="2"/>
        <v>213.79022106397247</v>
      </c>
      <c r="D69" s="23">
        <f t="shared" si="0"/>
        <v>213.8410055657576</v>
      </c>
      <c r="E69" s="31">
        <f t="shared" si="3"/>
        <v>57977.256514676053</v>
      </c>
    </row>
    <row r="70" spans="1:5" s="19" customFormat="1" x14ac:dyDescent="0.2">
      <c r="A70" s="22">
        <v>53</v>
      </c>
      <c r="B70" s="23">
        <f t="shared" si="1"/>
        <v>427.63122662973007</v>
      </c>
      <c r="C70" s="23">
        <f t="shared" si="2"/>
        <v>214.57585937805982</v>
      </c>
      <c r="D70" s="23">
        <f t="shared" si="0"/>
        <v>213.05536725167025</v>
      </c>
      <c r="E70" s="31">
        <f t="shared" si="3"/>
        <v>57762.680655297991</v>
      </c>
    </row>
    <row r="71" spans="1:5" s="19" customFormat="1" x14ac:dyDescent="0.2">
      <c r="A71" s="22">
        <v>54</v>
      </c>
      <c r="B71" s="23">
        <f t="shared" si="1"/>
        <v>427.63122662973007</v>
      </c>
      <c r="C71" s="23">
        <f t="shared" si="2"/>
        <v>215.36438476320913</v>
      </c>
      <c r="D71" s="23">
        <f t="shared" si="0"/>
        <v>212.26684186652093</v>
      </c>
      <c r="E71" s="31">
        <f t="shared" si="3"/>
        <v>57547.316270534779</v>
      </c>
    </row>
    <row r="72" spans="1:5" s="19" customFormat="1" x14ac:dyDescent="0.2">
      <c r="A72" s="22">
        <v>55</v>
      </c>
      <c r="B72" s="23">
        <f t="shared" si="1"/>
        <v>427.63122662973007</v>
      </c>
      <c r="C72" s="23">
        <f t="shared" si="2"/>
        <v>216.1558078288563</v>
      </c>
      <c r="D72" s="23">
        <f t="shared" si="0"/>
        <v>211.47541880087377</v>
      </c>
      <c r="E72" s="31">
        <f t="shared" si="3"/>
        <v>57331.160462705921</v>
      </c>
    </row>
    <row r="73" spans="1:5" s="19" customFormat="1" x14ac:dyDescent="0.2">
      <c r="A73" s="22">
        <v>56</v>
      </c>
      <c r="B73" s="23">
        <f t="shared" si="1"/>
        <v>427.63122662973007</v>
      </c>
      <c r="C73" s="23">
        <f t="shared" si="2"/>
        <v>216.9501392234248</v>
      </c>
      <c r="D73" s="23">
        <f t="shared" si="0"/>
        <v>210.68108740630527</v>
      </c>
      <c r="E73" s="31">
        <f t="shared" si="3"/>
        <v>57114.210323482497</v>
      </c>
    </row>
    <row r="74" spans="1:5" s="19" customFormat="1" x14ac:dyDescent="0.2">
      <c r="A74" s="22">
        <v>57</v>
      </c>
      <c r="B74" s="23">
        <f t="shared" si="1"/>
        <v>427.63122662973007</v>
      </c>
      <c r="C74" s="23">
        <f t="shared" si="2"/>
        <v>217.74738963446913</v>
      </c>
      <c r="D74" s="23">
        <f t="shared" si="0"/>
        <v>209.88383699526094</v>
      </c>
      <c r="E74" s="31">
        <f t="shared" si="3"/>
        <v>56896.46293384803</v>
      </c>
    </row>
    <row r="75" spans="1:5" s="19" customFormat="1" x14ac:dyDescent="0.2">
      <c r="A75" s="22">
        <v>58</v>
      </c>
      <c r="B75" s="23">
        <f t="shared" si="1"/>
        <v>427.63122662973007</v>
      </c>
      <c r="C75" s="23">
        <f t="shared" si="2"/>
        <v>218.54756978881844</v>
      </c>
      <c r="D75" s="23">
        <f t="shared" si="0"/>
        <v>209.08365684091163</v>
      </c>
      <c r="E75" s="31">
        <f t="shared" si="3"/>
        <v>56677.915364059212</v>
      </c>
    </row>
    <row r="76" spans="1:5" s="19" customFormat="1" x14ac:dyDescent="0.2">
      <c r="A76" s="22">
        <v>59</v>
      </c>
      <c r="B76" s="23">
        <f t="shared" si="1"/>
        <v>427.63122662973007</v>
      </c>
      <c r="C76" s="23">
        <f t="shared" si="2"/>
        <v>219.35069045272101</v>
      </c>
      <c r="D76" s="23">
        <f t="shared" si="0"/>
        <v>208.28053617700905</v>
      </c>
      <c r="E76" s="31">
        <f t="shared" si="3"/>
        <v>56458.564673606488</v>
      </c>
    </row>
    <row r="77" spans="1:5" s="19" customFormat="1" x14ac:dyDescent="0.2">
      <c r="A77" s="22">
        <v>60</v>
      </c>
      <c r="B77" s="23">
        <f t="shared" si="1"/>
        <v>427.63122662973007</v>
      </c>
      <c r="C77" s="23">
        <f t="shared" si="2"/>
        <v>220.15676243198899</v>
      </c>
      <c r="D77" s="23">
        <f t="shared" si="0"/>
        <v>207.47446419774107</v>
      </c>
      <c r="E77" s="31">
        <f t="shared" si="3"/>
        <v>56238.407911174501</v>
      </c>
    </row>
    <row r="78" spans="1:5" s="19" customFormat="1" x14ac:dyDescent="0.2">
      <c r="A78" s="22">
        <v>61</v>
      </c>
      <c r="B78" s="23">
        <f t="shared" si="1"/>
        <v>427.63122662973007</v>
      </c>
      <c r="C78" s="23">
        <f t="shared" si="2"/>
        <v>220.9657965721438</v>
      </c>
      <c r="D78" s="23">
        <f t="shared" si="0"/>
        <v>206.66543005758626</v>
      </c>
      <c r="E78" s="31">
        <f t="shared" si="3"/>
        <v>56017.44211460236</v>
      </c>
    </row>
    <row r="79" spans="1:5" s="19" customFormat="1" x14ac:dyDescent="0.2">
      <c r="A79" s="22">
        <v>62</v>
      </c>
      <c r="B79" s="23">
        <f t="shared" si="1"/>
        <v>427.63122662973007</v>
      </c>
      <c r="C79" s="23">
        <f t="shared" si="2"/>
        <v>221.77780375856213</v>
      </c>
      <c r="D79" s="23">
        <f t="shared" si="0"/>
        <v>205.85342287116794</v>
      </c>
      <c r="E79" s="31">
        <f t="shared" si="3"/>
        <v>55795.6643108438</v>
      </c>
    </row>
    <row r="80" spans="1:5" s="19" customFormat="1" x14ac:dyDescent="0.2">
      <c r="A80" s="22">
        <v>63</v>
      </c>
      <c r="B80" s="23">
        <f t="shared" si="1"/>
        <v>427.63122662973007</v>
      </c>
      <c r="C80" s="23">
        <f t="shared" si="2"/>
        <v>222.59279491662232</v>
      </c>
      <c r="D80" s="23">
        <f t="shared" si="0"/>
        <v>205.03843171310774</v>
      </c>
      <c r="E80" s="31">
        <f t="shared" si="3"/>
        <v>55573.071515927179</v>
      </c>
    </row>
    <row r="81" spans="1:5" s="19" customFormat="1" x14ac:dyDescent="0.2">
      <c r="A81" s="22">
        <v>64</v>
      </c>
      <c r="B81" s="23">
        <f t="shared" si="1"/>
        <v>427.63122662973007</v>
      </c>
      <c r="C81" s="23">
        <f t="shared" si="2"/>
        <v>223.41078101185144</v>
      </c>
      <c r="D81" s="23">
        <f t="shared" si="0"/>
        <v>204.22044561787862</v>
      </c>
      <c r="E81" s="31">
        <f t="shared" si="3"/>
        <v>55349.660734915327</v>
      </c>
    </row>
    <row r="82" spans="1:5" s="19" customFormat="1" x14ac:dyDescent="0.2">
      <c r="A82" s="22">
        <v>65</v>
      </c>
      <c r="B82" s="23">
        <f t="shared" si="1"/>
        <v>427.63122662973007</v>
      </c>
      <c r="C82" s="23">
        <f t="shared" si="2"/>
        <v>224.23177305007275</v>
      </c>
      <c r="D82" s="23">
        <f t="shared" ref="D82:D145" si="4">E81*B$7</f>
        <v>203.39945357965732</v>
      </c>
      <c r="E82" s="31">
        <f t="shared" si="3"/>
        <v>55125.428961865255</v>
      </c>
    </row>
    <row r="83" spans="1:5" s="19" customFormat="1" x14ac:dyDescent="0.2">
      <c r="A83" s="22">
        <v>66</v>
      </c>
      <c r="B83" s="23">
        <f t="shared" ref="B83:B146" si="5">B$9</f>
        <v>427.63122662973007</v>
      </c>
      <c r="C83" s="23">
        <f t="shared" ref="C83:C146" si="6">B83-D83</f>
        <v>225.05578207755377</v>
      </c>
      <c r="D83" s="23">
        <f t="shared" si="4"/>
        <v>202.57544455217629</v>
      </c>
      <c r="E83" s="31">
        <f t="shared" ref="E83:E146" si="7">E82-C83</f>
        <v>54900.373179787704</v>
      </c>
    </row>
    <row r="84" spans="1:5" s="19" customFormat="1" x14ac:dyDescent="0.2">
      <c r="A84" s="22">
        <v>67</v>
      </c>
      <c r="B84" s="23">
        <f t="shared" si="5"/>
        <v>427.63122662973007</v>
      </c>
      <c r="C84" s="23">
        <f t="shared" si="6"/>
        <v>225.88281918115501</v>
      </c>
      <c r="D84" s="23">
        <f t="shared" si="4"/>
        <v>201.74840744857505</v>
      </c>
      <c r="E84" s="31">
        <f t="shared" si="7"/>
        <v>54674.490360606549</v>
      </c>
    </row>
    <row r="85" spans="1:5" s="19" customFormat="1" x14ac:dyDescent="0.2">
      <c r="A85" s="22">
        <v>68</v>
      </c>
      <c r="B85" s="23">
        <f t="shared" si="5"/>
        <v>427.63122662973007</v>
      </c>
      <c r="C85" s="23">
        <f t="shared" si="6"/>
        <v>226.71289548847909</v>
      </c>
      <c r="D85" s="23">
        <f t="shared" si="4"/>
        <v>200.91833114125097</v>
      </c>
      <c r="E85" s="31">
        <f t="shared" si="7"/>
        <v>54447.777465118073</v>
      </c>
    </row>
    <row r="86" spans="1:5" s="19" customFormat="1" x14ac:dyDescent="0.2">
      <c r="A86" s="22">
        <v>69</v>
      </c>
      <c r="B86" s="23">
        <f t="shared" si="5"/>
        <v>427.63122662973007</v>
      </c>
      <c r="C86" s="23">
        <f t="shared" si="6"/>
        <v>227.54602216802041</v>
      </c>
      <c r="D86" s="23">
        <f t="shared" si="4"/>
        <v>200.08520446170965</v>
      </c>
      <c r="E86" s="31">
        <f t="shared" si="7"/>
        <v>54220.231442950055</v>
      </c>
    </row>
    <row r="87" spans="1:5" s="19" customFormat="1" x14ac:dyDescent="0.2">
      <c r="A87" s="22">
        <v>70</v>
      </c>
      <c r="B87" s="23">
        <f t="shared" si="5"/>
        <v>427.63122662973007</v>
      </c>
      <c r="C87" s="23">
        <f t="shared" si="6"/>
        <v>228.38221042931545</v>
      </c>
      <c r="D87" s="23">
        <f t="shared" si="4"/>
        <v>199.24901620041462</v>
      </c>
      <c r="E87" s="31">
        <f t="shared" si="7"/>
        <v>53991.849232520741</v>
      </c>
    </row>
    <row r="88" spans="1:5" s="19" customFormat="1" x14ac:dyDescent="0.2">
      <c r="A88" s="22">
        <v>71</v>
      </c>
      <c r="B88" s="23">
        <f t="shared" si="5"/>
        <v>427.63122662973007</v>
      </c>
      <c r="C88" s="23">
        <f t="shared" si="6"/>
        <v>229.22147152309364</v>
      </c>
      <c r="D88" s="23">
        <f t="shared" si="4"/>
        <v>198.40975510663642</v>
      </c>
      <c r="E88" s="31">
        <f t="shared" si="7"/>
        <v>53762.627760997646</v>
      </c>
    </row>
    <row r="89" spans="1:5" s="19" customFormat="1" x14ac:dyDescent="0.2">
      <c r="A89" s="22">
        <v>72</v>
      </c>
      <c r="B89" s="23">
        <f t="shared" si="5"/>
        <v>427.63122662973007</v>
      </c>
      <c r="C89" s="23">
        <f t="shared" si="6"/>
        <v>230.06381674142867</v>
      </c>
      <c r="D89" s="23">
        <f t="shared" si="4"/>
        <v>197.5674098883014</v>
      </c>
      <c r="E89" s="31">
        <f t="shared" si="7"/>
        <v>53532.563944256217</v>
      </c>
    </row>
    <row r="90" spans="1:5" s="19" customFormat="1" x14ac:dyDescent="0.2">
      <c r="A90" s="22">
        <v>73</v>
      </c>
      <c r="B90" s="23">
        <f t="shared" si="5"/>
        <v>427.63122662973007</v>
      </c>
      <c r="C90" s="23">
        <f t="shared" si="6"/>
        <v>230.90925741789047</v>
      </c>
      <c r="D90" s="23">
        <f t="shared" si="4"/>
        <v>196.72196921183959</v>
      </c>
      <c r="E90" s="31">
        <f t="shared" si="7"/>
        <v>53301.654686838323</v>
      </c>
    </row>
    <row r="91" spans="1:5" s="19" customFormat="1" x14ac:dyDescent="0.2">
      <c r="A91" s="22">
        <v>74</v>
      </c>
      <c r="B91" s="23">
        <f t="shared" si="5"/>
        <v>427.63122662973007</v>
      </c>
      <c r="C91" s="23">
        <f t="shared" si="6"/>
        <v>231.75780492769763</v>
      </c>
      <c r="D91" s="23">
        <f t="shared" si="4"/>
        <v>195.87342170203243</v>
      </c>
      <c r="E91" s="31">
        <f t="shared" si="7"/>
        <v>53069.896881910623</v>
      </c>
    </row>
    <row r="92" spans="1:5" s="19" customFormat="1" x14ac:dyDescent="0.2">
      <c r="A92" s="22">
        <v>75</v>
      </c>
      <c r="B92" s="23">
        <f t="shared" si="5"/>
        <v>427.63122662973007</v>
      </c>
      <c r="C92" s="23">
        <f t="shared" si="6"/>
        <v>232.60947068787056</v>
      </c>
      <c r="D92" s="23">
        <f t="shared" si="4"/>
        <v>195.02175594185951</v>
      </c>
      <c r="E92" s="31">
        <f t="shared" si="7"/>
        <v>52837.287411222751</v>
      </c>
    </row>
    <row r="93" spans="1:5" s="19" customFormat="1" x14ac:dyDescent="0.2">
      <c r="A93" s="22">
        <v>76</v>
      </c>
      <c r="B93" s="23">
        <f t="shared" si="5"/>
        <v>427.63122662973007</v>
      </c>
      <c r="C93" s="23">
        <f t="shared" si="6"/>
        <v>233.464266157385</v>
      </c>
      <c r="D93" s="23">
        <f t="shared" si="4"/>
        <v>194.16696047234507</v>
      </c>
      <c r="E93" s="31">
        <f t="shared" si="7"/>
        <v>52603.823145065369</v>
      </c>
    </row>
    <row r="94" spans="1:5" s="19" customFormat="1" x14ac:dyDescent="0.2">
      <c r="A94" s="22">
        <v>77</v>
      </c>
      <c r="B94" s="23">
        <f t="shared" si="5"/>
        <v>427.63122662973007</v>
      </c>
      <c r="C94" s="23">
        <f t="shared" si="6"/>
        <v>234.32220283732622</v>
      </c>
      <c r="D94" s="23">
        <f t="shared" si="4"/>
        <v>193.30902379240385</v>
      </c>
      <c r="E94" s="31">
        <f t="shared" si="7"/>
        <v>52369.500942228042</v>
      </c>
    </row>
    <row r="95" spans="1:5" s="19" customFormat="1" x14ac:dyDescent="0.2">
      <c r="A95" s="22">
        <v>78</v>
      </c>
      <c r="B95" s="23">
        <f t="shared" si="5"/>
        <v>427.63122662973007</v>
      </c>
      <c r="C95" s="23">
        <f t="shared" si="6"/>
        <v>235.18329227104391</v>
      </c>
      <c r="D95" s="23">
        <f t="shared" si="4"/>
        <v>192.44793435868615</v>
      </c>
      <c r="E95" s="31">
        <f t="shared" si="7"/>
        <v>52134.317649956996</v>
      </c>
    </row>
    <row r="96" spans="1:5" s="19" customFormat="1" x14ac:dyDescent="0.2">
      <c r="A96" s="22">
        <v>79</v>
      </c>
      <c r="B96" s="23">
        <f t="shared" si="5"/>
        <v>427.63122662973007</v>
      </c>
      <c r="C96" s="23">
        <f t="shared" si="6"/>
        <v>236.04754604430724</v>
      </c>
      <c r="D96" s="23">
        <f t="shared" si="4"/>
        <v>191.58368058542283</v>
      </c>
      <c r="E96" s="31">
        <f t="shared" si="7"/>
        <v>51898.270103912691</v>
      </c>
    </row>
    <row r="97" spans="1:5" s="19" customFormat="1" x14ac:dyDescent="0.2">
      <c r="A97" s="22">
        <v>80</v>
      </c>
      <c r="B97" s="23">
        <f t="shared" si="5"/>
        <v>427.63122662973007</v>
      </c>
      <c r="C97" s="23">
        <f t="shared" si="6"/>
        <v>236.91497578546088</v>
      </c>
      <c r="D97" s="23">
        <f t="shared" si="4"/>
        <v>190.71625084426918</v>
      </c>
      <c r="E97" s="31">
        <f t="shared" si="7"/>
        <v>51661.35512812723</v>
      </c>
    </row>
    <row r="98" spans="1:5" s="19" customFormat="1" x14ac:dyDescent="0.2">
      <c r="A98" s="22">
        <v>81</v>
      </c>
      <c r="B98" s="23">
        <f t="shared" si="5"/>
        <v>427.63122662973007</v>
      </c>
      <c r="C98" s="23">
        <f t="shared" si="6"/>
        <v>237.78559316558159</v>
      </c>
      <c r="D98" s="23">
        <f t="shared" si="4"/>
        <v>189.84563346414848</v>
      </c>
      <c r="E98" s="31">
        <f t="shared" si="7"/>
        <v>51423.569534961651</v>
      </c>
    </row>
    <row r="99" spans="1:5" s="19" customFormat="1" x14ac:dyDescent="0.2">
      <c r="A99" s="22">
        <v>82</v>
      </c>
      <c r="B99" s="23">
        <f t="shared" si="5"/>
        <v>427.63122662973007</v>
      </c>
      <c r="C99" s="23">
        <f t="shared" si="6"/>
        <v>238.65940989863489</v>
      </c>
      <c r="D99" s="23">
        <f t="shared" si="4"/>
        <v>188.97181673109517</v>
      </c>
      <c r="E99" s="31">
        <f t="shared" si="7"/>
        <v>51184.910125063019</v>
      </c>
    </row>
    <row r="100" spans="1:5" s="19" customFormat="1" x14ac:dyDescent="0.2">
      <c r="A100" s="22">
        <v>83</v>
      </c>
      <c r="B100" s="23">
        <f t="shared" si="5"/>
        <v>427.63122662973007</v>
      </c>
      <c r="C100" s="23">
        <f t="shared" si="6"/>
        <v>239.53643774163311</v>
      </c>
      <c r="D100" s="23">
        <f t="shared" si="4"/>
        <v>188.09478888809696</v>
      </c>
      <c r="E100" s="31">
        <f t="shared" si="7"/>
        <v>50945.373687321386</v>
      </c>
    </row>
    <row r="101" spans="1:5" s="19" customFormat="1" x14ac:dyDescent="0.2">
      <c r="A101" s="22">
        <v>84</v>
      </c>
      <c r="B101" s="23">
        <f t="shared" si="5"/>
        <v>427.63122662973007</v>
      </c>
      <c r="C101" s="23">
        <f t="shared" si="6"/>
        <v>240.41668849479322</v>
      </c>
      <c r="D101" s="23">
        <f t="shared" si="4"/>
        <v>187.21453813493684</v>
      </c>
      <c r="E101" s="31">
        <f t="shared" si="7"/>
        <v>50704.956998826594</v>
      </c>
    </row>
    <row r="102" spans="1:5" s="19" customFormat="1" x14ac:dyDescent="0.2">
      <c r="A102" s="22">
        <v>85</v>
      </c>
      <c r="B102" s="23">
        <f t="shared" si="5"/>
        <v>427.63122662973007</v>
      </c>
      <c r="C102" s="23">
        <f t="shared" si="6"/>
        <v>241.30017400169578</v>
      </c>
      <c r="D102" s="23">
        <f t="shared" si="4"/>
        <v>186.33105262803429</v>
      </c>
      <c r="E102" s="31">
        <f t="shared" si="7"/>
        <v>50463.656824824895</v>
      </c>
    </row>
    <row r="103" spans="1:5" s="19" customFormat="1" x14ac:dyDescent="0.2">
      <c r="A103" s="22">
        <v>86</v>
      </c>
      <c r="B103" s="23">
        <f t="shared" si="5"/>
        <v>427.63122662973007</v>
      </c>
      <c r="C103" s="23">
        <f t="shared" si="6"/>
        <v>242.18690614944427</v>
      </c>
      <c r="D103" s="23">
        <f t="shared" si="4"/>
        <v>185.4443204802858</v>
      </c>
      <c r="E103" s="31">
        <f t="shared" si="7"/>
        <v>50221.469918675451</v>
      </c>
    </row>
    <row r="104" spans="1:5" s="19" customFormat="1" x14ac:dyDescent="0.2">
      <c r="A104" s="22">
        <v>87</v>
      </c>
      <c r="B104" s="23">
        <f t="shared" si="5"/>
        <v>427.63122662973007</v>
      </c>
      <c r="C104" s="23">
        <f t="shared" si="6"/>
        <v>243.07689686882495</v>
      </c>
      <c r="D104" s="23">
        <f t="shared" si="4"/>
        <v>184.55432976090512</v>
      </c>
      <c r="E104" s="31">
        <f t="shared" si="7"/>
        <v>49978.393021806623</v>
      </c>
    </row>
    <row r="105" spans="1:5" s="19" customFormat="1" x14ac:dyDescent="0.2">
      <c r="A105" s="22">
        <v>88</v>
      </c>
      <c r="B105" s="23">
        <f t="shared" si="5"/>
        <v>427.63122662973007</v>
      </c>
      <c r="C105" s="23">
        <f t="shared" si="6"/>
        <v>243.97015813446754</v>
      </c>
      <c r="D105" s="23">
        <f t="shared" si="4"/>
        <v>183.66106849526253</v>
      </c>
      <c r="E105" s="31">
        <f t="shared" si="7"/>
        <v>49734.422863672153</v>
      </c>
    </row>
    <row r="106" spans="1:5" s="19" customFormat="1" x14ac:dyDescent="0.2">
      <c r="A106" s="22">
        <v>89</v>
      </c>
      <c r="B106" s="23">
        <f t="shared" si="5"/>
        <v>427.63122662973007</v>
      </c>
      <c r="C106" s="23">
        <f t="shared" si="6"/>
        <v>244.86670196500617</v>
      </c>
      <c r="D106" s="23">
        <f t="shared" si="4"/>
        <v>182.76452466472389</v>
      </c>
      <c r="E106" s="31">
        <f t="shared" si="7"/>
        <v>49489.556161707143</v>
      </c>
    </row>
    <row r="107" spans="1:5" s="19" customFormat="1" x14ac:dyDescent="0.2">
      <c r="A107" s="22">
        <v>90</v>
      </c>
      <c r="B107" s="23">
        <f t="shared" si="5"/>
        <v>427.63122662973007</v>
      </c>
      <c r="C107" s="23">
        <f t="shared" si="6"/>
        <v>245.76654042324114</v>
      </c>
      <c r="D107" s="23">
        <f t="shared" si="4"/>
        <v>181.86468620648893</v>
      </c>
      <c r="E107" s="31">
        <f t="shared" si="7"/>
        <v>49243.789621283904</v>
      </c>
    </row>
    <row r="108" spans="1:5" s="19" customFormat="1" x14ac:dyDescent="0.2">
      <c r="A108" s="22">
        <v>91</v>
      </c>
      <c r="B108" s="23">
        <f t="shared" si="5"/>
        <v>427.63122662973007</v>
      </c>
      <c r="C108" s="23">
        <f t="shared" si="6"/>
        <v>246.66968561630131</v>
      </c>
      <c r="D108" s="23">
        <f t="shared" si="4"/>
        <v>180.96154101342876</v>
      </c>
      <c r="E108" s="31">
        <f t="shared" si="7"/>
        <v>48997.119935667601</v>
      </c>
    </row>
    <row r="109" spans="1:5" s="19" customFormat="1" x14ac:dyDescent="0.2">
      <c r="A109" s="22">
        <v>92</v>
      </c>
      <c r="B109" s="23">
        <f t="shared" si="5"/>
        <v>427.63122662973007</v>
      </c>
      <c r="C109" s="23">
        <f t="shared" si="6"/>
        <v>247.57614969580692</v>
      </c>
      <c r="D109" s="23">
        <f t="shared" si="4"/>
        <v>180.05507693392315</v>
      </c>
      <c r="E109" s="31">
        <f t="shared" si="7"/>
        <v>48749.543785971793</v>
      </c>
    </row>
    <row r="110" spans="1:5" s="19" customFormat="1" x14ac:dyDescent="0.2">
      <c r="A110" s="22">
        <v>93</v>
      </c>
      <c r="B110" s="23">
        <f t="shared" si="5"/>
        <v>427.63122662973007</v>
      </c>
      <c r="C110" s="23">
        <f t="shared" si="6"/>
        <v>248.48594485803304</v>
      </c>
      <c r="D110" s="23">
        <f t="shared" si="4"/>
        <v>179.14528177169703</v>
      </c>
      <c r="E110" s="31">
        <f t="shared" si="7"/>
        <v>48501.057841113761</v>
      </c>
    </row>
    <row r="111" spans="1:5" s="19" customFormat="1" x14ac:dyDescent="0.2">
      <c r="A111" s="22">
        <v>94</v>
      </c>
      <c r="B111" s="23">
        <f t="shared" si="5"/>
        <v>427.63122662973007</v>
      </c>
      <c r="C111" s="23">
        <f t="shared" si="6"/>
        <v>249.39908334407374</v>
      </c>
      <c r="D111" s="23">
        <f t="shared" si="4"/>
        <v>178.23214328565632</v>
      </c>
      <c r="E111" s="31">
        <f t="shared" si="7"/>
        <v>48251.658757769685</v>
      </c>
    </row>
    <row r="112" spans="1:5" s="19" customFormat="1" x14ac:dyDescent="0.2">
      <c r="A112" s="22">
        <v>95</v>
      </c>
      <c r="B112" s="23">
        <f t="shared" si="5"/>
        <v>427.63122662973007</v>
      </c>
      <c r="C112" s="23">
        <f t="shared" si="6"/>
        <v>250.3155774400069</v>
      </c>
      <c r="D112" s="23">
        <f t="shared" si="4"/>
        <v>177.31564918972316</v>
      </c>
      <c r="E112" s="31">
        <f t="shared" si="7"/>
        <v>48001.343180329677</v>
      </c>
    </row>
    <row r="113" spans="1:5" s="19" customFormat="1" x14ac:dyDescent="0.2">
      <c r="A113" s="22">
        <v>96</v>
      </c>
      <c r="B113" s="23">
        <f t="shared" si="5"/>
        <v>427.63122662973007</v>
      </c>
      <c r="C113" s="23">
        <f t="shared" si="6"/>
        <v>251.2354394770592</v>
      </c>
      <c r="D113" s="23">
        <f t="shared" si="4"/>
        <v>176.39578715267086</v>
      </c>
      <c r="E113" s="31">
        <f t="shared" si="7"/>
        <v>47750.107740852618</v>
      </c>
    </row>
    <row r="114" spans="1:5" s="19" customFormat="1" x14ac:dyDescent="0.2">
      <c r="A114" s="22">
        <v>97</v>
      </c>
      <c r="B114" s="23">
        <f t="shared" si="5"/>
        <v>427.63122662973007</v>
      </c>
      <c r="C114" s="23">
        <f t="shared" si="6"/>
        <v>252.15868183177238</v>
      </c>
      <c r="D114" s="23">
        <f t="shared" si="4"/>
        <v>175.47254479795768</v>
      </c>
      <c r="E114" s="31">
        <f t="shared" si="7"/>
        <v>47497.949059020844</v>
      </c>
    </row>
    <row r="115" spans="1:5" s="19" customFormat="1" x14ac:dyDescent="0.2">
      <c r="A115" s="22">
        <v>98</v>
      </c>
      <c r="B115" s="23">
        <f t="shared" si="5"/>
        <v>427.63122662973007</v>
      </c>
      <c r="C115" s="23">
        <f t="shared" si="6"/>
        <v>253.08531692616955</v>
      </c>
      <c r="D115" s="23">
        <f t="shared" si="4"/>
        <v>174.54590970356051</v>
      </c>
      <c r="E115" s="31">
        <f t="shared" si="7"/>
        <v>47244.863742094676</v>
      </c>
    </row>
    <row r="116" spans="1:5" s="19" customFormat="1" x14ac:dyDescent="0.2">
      <c r="A116" s="22">
        <v>99</v>
      </c>
      <c r="B116" s="23">
        <f t="shared" si="5"/>
        <v>427.63122662973007</v>
      </c>
      <c r="C116" s="23">
        <f t="shared" si="6"/>
        <v>254.01535722792238</v>
      </c>
      <c r="D116" s="23">
        <f t="shared" si="4"/>
        <v>173.61586940180769</v>
      </c>
      <c r="E116" s="31">
        <f t="shared" si="7"/>
        <v>46990.848384866753</v>
      </c>
    </row>
    <row r="117" spans="1:5" s="19" customFormat="1" x14ac:dyDescent="0.2">
      <c r="A117" s="22">
        <v>100</v>
      </c>
      <c r="B117" s="23">
        <f t="shared" si="5"/>
        <v>427.63122662973007</v>
      </c>
      <c r="C117" s="23">
        <f t="shared" si="6"/>
        <v>254.94881525051889</v>
      </c>
      <c r="D117" s="23">
        <f t="shared" si="4"/>
        <v>172.68241137921117</v>
      </c>
      <c r="E117" s="31">
        <f t="shared" si="7"/>
        <v>46735.899569616231</v>
      </c>
    </row>
    <row r="118" spans="1:5" s="19" customFormat="1" x14ac:dyDescent="0.2">
      <c r="A118" s="22">
        <v>101</v>
      </c>
      <c r="B118" s="23">
        <f t="shared" si="5"/>
        <v>427.63122662973007</v>
      </c>
      <c r="C118" s="23">
        <f t="shared" si="6"/>
        <v>255.88570355343174</v>
      </c>
      <c r="D118" s="23">
        <f t="shared" si="4"/>
        <v>171.74552307629833</v>
      </c>
      <c r="E118" s="31">
        <f t="shared" si="7"/>
        <v>46480.0138660628</v>
      </c>
    </row>
    <row r="119" spans="1:5" s="19" customFormat="1" x14ac:dyDescent="0.2">
      <c r="A119" s="22">
        <v>102</v>
      </c>
      <c r="B119" s="23">
        <f t="shared" si="5"/>
        <v>427.63122662973007</v>
      </c>
      <c r="C119" s="23">
        <f t="shared" si="6"/>
        <v>256.82603474228728</v>
      </c>
      <c r="D119" s="23">
        <f t="shared" si="4"/>
        <v>170.80519188744279</v>
      </c>
      <c r="E119" s="31">
        <f t="shared" si="7"/>
        <v>46223.187831320516</v>
      </c>
    </row>
    <row r="120" spans="1:5" s="19" customFormat="1" x14ac:dyDescent="0.2">
      <c r="A120" s="22">
        <v>103</v>
      </c>
      <c r="B120" s="23">
        <f t="shared" si="5"/>
        <v>427.63122662973007</v>
      </c>
      <c r="C120" s="23">
        <f t="shared" si="6"/>
        <v>257.76982146903515</v>
      </c>
      <c r="D120" s="23">
        <f t="shared" si="4"/>
        <v>169.86140516069491</v>
      </c>
      <c r="E120" s="31">
        <f t="shared" si="7"/>
        <v>45965.418009851484</v>
      </c>
    </row>
    <row r="121" spans="1:5" s="19" customFormat="1" x14ac:dyDescent="0.2">
      <c r="A121" s="22">
        <v>104</v>
      </c>
      <c r="B121" s="23">
        <f t="shared" si="5"/>
        <v>427.63122662973007</v>
      </c>
      <c r="C121" s="23">
        <f t="shared" si="6"/>
        <v>258.71707643211846</v>
      </c>
      <c r="D121" s="23">
        <f t="shared" si="4"/>
        <v>168.91415019761158</v>
      </c>
      <c r="E121" s="31">
        <f t="shared" si="7"/>
        <v>45706.700933419364</v>
      </c>
    </row>
    <row r="122" spans="1:5" s="19" customFormat="1" x14ac:dyDescent="0.2">
      <c r="A122" s="22">
        <v>105</v>
      </c>
      <c r="B122" s="23">
        <f t="shared" si="5"/>
        <v>427.63122662973007</v>
      </c>
      <c r="C122" s="23">
        <f t="shared" si="6"/>
        <v>259.66781237664475</v>
      </c>
      <c r="D122" s="23">
        <f t="shared" si="4"/>
        <v>167.96341425308529</v>
      </c>
      <c r="E122" s="31">
        <f t="shared" si="7"/>
        <v>45447.033121042718</v>
      </c>
    </row>
    <row r="123" spans="1:5" s="19" customFormat="1" x14ac:dyDescent="0.2">
      <c r="A123" s="22">
        <v>106</v>
      </c>
      <c r="B123" s="23">
        <f t="shared" si="5"/>
        <v>427.63122662973007</v>
      </c>
      <c r="C123" s="23">
        <f t="shared" si="6"/>
        <v>260.62204209455734</v>
      </c>
      <c r="D123" s="23">
        <f t="shared" si="4"/>
        <v>167.00918453517272</v>
      </c>
      <c r="E123" s="31">
        <f t="shared" si="7"/>
        <v>45186.411078948164</v>
      </c>
    </row>
    <row r="124" spans="1:5" s="19" customFormat="1" x14ac:dyDescent="0.2">
      <c r="A124" s="22">
        <v>107</v>
      </c>
      <c r="B124" s="23">
        <f t="shared" si="5"/>
        <v>427.63122662973007</v>
      </c>
      <c r="C124" s="23">
        <f t="shared" si="6"/>
        <v>261.5797784248075</v>
      </c>
      <c r="D124" s="23">
        <f t="shared" si="4"/>
        <v>166.05144820492259</v>
      </c>
      <c r="E124" s="31">
        <f t="shared" si="7"/>
        <v>44924.831300523358</v>
      </c>
    </row>
    <row r="125" spans="1:5" s="19" customFormat="1" x14ac:dyDescent="0.2">
      <c r="A125" s="22">
        <v>108</v>
      </c>
      <c r="B125" s="23">
        <f t="shared" si="5"/>
        <v>427.63122662973007</v>
      </c>
      <c r="C125" s="23">
        <f t="shared" si="6"/>
        <v>262.54103425352713</v>
      </c>
      <c r="D125" s="23">
        <f t="shared" si="4"/>
        <v>165.09019237620294</v>
      </c>
      <c r="E125" s="31">
        <f t="shared" si="7"/>
        <v>44662.290266269833</v>
      </c>
    </row>
    <row r="126" spans="1:5" s="19" customFormat="1" x14ac:dyDescent="0.2">
      <c r="A126" s="22">
        <v>109</v>
      </c>
      <c r="B126" s="23">
        <f t="shared" si="5"/>
        <v>427.63122662973007</v>
      </c>
      <c r="C126" s="23">
        <f t="shared" si="6"/>
        <v>263.50582251420241</v>
      </c>
      <c r="D126" s="23">
        <f t="shared" si="4"/>
        <v>164.12540411552766</v>
      </c>
      <c r="E126" s="31">
        <f t="shared" si="7"/>
        <v>44398.784443755627</v>
      </c>
    </row>
    <row r="127" spans="1:5" s="19" customFormat="1" x14ac:dyDescent="0.2">
      <c r="A127" s="22">
        <v>110</v>
      </c>
      <c r="B127" s="23">
        <f t="shared" si="5"/>
        <v>427.63122662973007</v>
      </c>
      <c r="C127" s="23">
        <f t="shared" si="6"/>
        <v>264.47415618784748</v>
      </c>
      <c r="D127" s="23">
        <f t="shared" si="4"/>
        <v>163.15707044188261</v>
      </c>
      <c r="E127" s="31">
        <f t="shared" si="7"/>
        <v>44134.31028756778</v>
      </c>
    </row>
    <row r="128" spans="1:5" s="19" customFormat="1" x14ac:dyDescent="0.2">
      <c r="A128" s="22">
        <v>111</v>
      </c>
      <c r="B128" s="23">
        <f t="shared" si="5"/>
        <v>427.63122662973007</v>
      </c>
      <c r="C128" s="23">
        <f t="shared" si="6"/>
        <v>265.44604830317917</v>
      </c>
      <c r="D128" s="23">
        <f t="shared" si="4"/>
        <v>162.18517832655093</v>
      </c>
      <c r="E128" s="31">
        <f t="shared" si="7"/>
        <v>43868.8642392646</v>
      </c>
    </row>
    <row r="129" spans="1:5" s="19" customFormat="1" x14ac:dyDescent="0.2">
      <c r="A129" s="22">
        <v>112</v>
      </c>
      <c r="B129" s="23">
        <f t="shared" si="5"/>
        <v>427.63122662973007</v>
      </c>
      <c r="C129" s="23">
        <f t="shared" si="6"/>
        <v>266.42151193679251</v>
      </c>
      <c r="D129" s="23">
        <f t="shared" si="4"/>
        <v>161.20971469293758</v>
      </c>
      <c r="E129" s="31">
        <f t="shared" si="7"/>
        <v>43602.442727327805</v>
      </c>
    </row>
    <row r="130" spans="1:5" s="19" customFormat="1" x14ac:dyDescent="0.2">
      <c r="A130" s="22">
        <v>113</v>
      </c>
      <c r="B130" s="23">
        <f t="shared" si="5"/>
        <v>427.63122662973007</v>
      </c>
      <c r="C130" s="23">
        <f t="shared" si="6"/>
        <v>267.40056021333646</v>
      </c>
      <c r="D130" s="23">
        <f t="shared" si="4"/>
        <v>160.23066641639363</v>
      </c>
      <c r="E130" s="31">
        <f t="shared" si="7"/>
        <v>43335.042167114472</v>
      </c>
    </row>
    <row r="131" spans="1:5" s="19" customFormat="1" x14ac:dyDescent="0.2">
      <c r="A131" s="22">
        <v>114</v>
      </c>
      <c r="B131" s="23">
        <f t="shared" si="5"/>
        <v>427.63122662973007</v>
      </c>
      <c r="C131" s="23">
        <f t="shared" si="6"/>
        <v>268.38320630569046</v>
      </c>
      <c r="D131" s="23">
        <f t="shared" si="4"/>
        <v>159.2480203240396</v>
      </c>
      <c r="E131" s="31">
        <f t="shared" si="7"/>
        <v>43066.658960808782</v>
      </c>
    </row>
    <row r="132" spans="1:5" s="19" customFormat="1" x14ac:dyDescent="0.2">
      <c r="A132" s="22">
        <v>115</v>
      </c>
      <c r="B132" s="23">
        <f t="shared" si="5"/>
        <v>427.63122662973007</v>
      </c>
      <c r="C132" s="23">
        <f t="shared" si="6"/>
        <v>269.36946343514199</v>
      </c>
      <c r="D132" s="23">
        <f t="shared" si="4"/>
        <v>158.26176319458807</v>
      </c>
      <c r="E132" s="31">
        <f t="shared" si="7"/>
        <v>42797.28949737364</v>
      </c>
    </row>
    <row r="133" spans="1:5" s="19" customFormat="1" x14ac:dyDescent="0.2">
      <c r="A133" s="22">
        <v>116</v>
      </c>
      <c r="B133" s="23">
        <f t="shared" si="5"/>
        <v>427.63122662973007</v>
      </c>
      <c r="C133" s="23">
        <f t="shared" si="6"/>
        <v>270.35934487156408</v>
      </c>
      <c r="D133" s="23">
        <f t="shared" si="4"/>
        <v>157.27188175816599</v>
      </c>
      <c r="E133" s="31">
        <f t="shared" si="7"/>
        <v>42526.930152502078</v>
      </c>
    </row>
    <row r="134" spans="1:5" s="19" customFormat="1" x14ac:dyDescent="0.2">
      <c r="A134" s="22">
        <v>117</v>
      </c>
      <c r="B134" s="23">
        <f t="shared" si="5"/>
        <v>427.63122662973007</v>
      </c>
      <c r="C134" s="23">
        <f t="shared" si="6"/>
        <v>271.35286393359405</v>
      </c>
      <c r="D134" s="23">
        <f t="shared" si="4"/>
        <v>156.27836269613601</v>
      </c>
      <c r="E134" s="31">
        <f t="shared" si="7"/>
        <v>42255.577288568486</v>
      </c>
    </row>
    <row r="135" spans="1:5" s="19" customFormat="1" x14ac:dyDescent="0.2">
      <c r="A135" s="22">
        <v>118</v>
      </c>
      <c r="B135" s="23">
        <f t="shared" si="5"/>
        <v>427.63122662973007</v>
      </c>
      <c r="C135" s="23">
        <f t="shared" si="6"/>
        <v>272.3500339888127</v>
      </c>
      <c r="D135" s="23">
        <f t="shared" si="4"/>
        <v>155.2811926409174</v>
      </c>
      <c r="E135" s="31">
        <f t="shared" si="7"/>
        <v>41983.227254579673</v>
      </c>
    </row>
    <row r="136" spans="1:5" s="19" customFormat="1" x14ac:dyDescent="0.2">
      <c r="A136" s="22">
        <v>119</v>
      </c>
      <c r="B136" s="23">
        <f t="shared" si="5"/>
        <v>427.63122662973007</v>
      </c>
      <c r="C136" s="23">
        <f t="shared" si="6"/>
        <v>273.35086845392402</v>
      </c>
      <c r="D136" s="23">
        <f t="shared" si="4"/>
        <v>154.28035817580601</v>
      </c>
      <c r="E136" s="31">
        <f t="shared" si="7"/>
        <v>41709.876386125747</v>
      </c>
    </row>
    <row r="137" spans="1:5" s="19" customFormat="1" x14ac:dyDescent="0.2">
      <c r="A137" s="22">
        <v>120</v>
      </c>
      <c r="B137" s="23">
        <f t="shared" si="5"/>
        <v>427.63122662973007</v>
      </c>
      <c r="C137" s="23">
        <f t="shared" si="6"/>
        <v>274.35538079493608</v>
      </c>
      <c r="D137" s="23">
        <f t="shared" si="4"/>
        <v>153.27584583479396</v>
      </c>
      <c r="E137" s="31">
        <f t="shared" si="7"/>
        <v>41435.521005330811</v>
      </c>
    </row>
    <row r="138" spans="1:5" s="19" customFormat="1" x14ac:dyDescent="0.2">
      <c r="A138" s="22">
        <v>121</v>
      </c>
      <c r="B138" s="23">
        <f t="shared" si="5"/>
        <v>427.63122662973007</v>
      </c>
      <c r="C138" s="23">
        <f t="shared" si="6"/>
        <v>275.3635845273418</v>
      </c>
      <c r="D138" s="23">
        <f t="shared" si="4"/>
        <v>152.26764210238829</v>
      </c>
      <c r="E138" s="31">
        <f t="shared" si="7"/>
        <v>41160.157420803473</v>
      </c>
    </row>
    <row r="139" spans="1:5" s="19" customFormat="1" x14ac:dyDescent="0.2">
      <c r="A139" s="22">
        <v>122</v>
      </c>
      <c r="B139" s="23">
        <f t="shared" si="5"/>
        <v>427.63122662973007</v>
      </c>
      <c r="C139" s="23">
        <f t="shared" si="6"/>
        <v>276.37549321630081</v>
      </c>
      <c r="D139" s="23">
        <f t="shared" si="4"/>
        <v>151.25573341342923</v>
      </c>
      <c r="E139" s="31">
        <f t="shared" si="7"/>
        <v>40883.781927587173</v>
      </c>
    </row>
    <row r="140" spans="1:5" s="19" customFormat="1" x14ac:dyDescent="0.2">
      <c r="A140" s="22">
        <v>123</v>
      </c>
      <c r="B140" s="23">
        <f t="shared" si="5"/>
        <v>427.63122662973007</v>
      </c>
      <c r="C140" s="23">
        <f t="shared" si="6"/>
        <v>277.39112047682249</v>
      </c>
      <c r="D140" s="23">
        <f t="shared" si="4"/>
        <v>150.2401061529076</v>
      </c>
      <c r="E140" s="31">
        <f t="shared" si="7"/>
        <v>40606.390807110351</v>
      </c>
    </row>
    <row r="141" spans="1:5" s="19" customFormat="1" x14ac:dyDescent="0.2">
      <c r="A141" s="22">
        <v>124</v>
      </c>
      <c r="B141" s="23">
        <f t="shared" si="5"/>
        <v>427.63122662973007</v>
      </c>
      <c r="C141" s="23">
        <f t="shared" si="6"/>
        <v>278.41047997394844</v>
      </c>
      <c r="D141" s="23">
        <f t="shared" si="4"/>
        <v>149.22074665578165</v>
      </c>
      <c r="E141" s="31">
        <f t="shared" si="7"/>
        <v>40327.9803271364</v>
      </c>
    </row>
    <row r="142" spans="1:5" s="19" customFormat="1" x14ac:dyDescent="0.2">
      <c r="A142" s="22">
        <v>125</v>
      </c>
      <c r="B142" s="23">
        <f t="shared" si="5"/>
        <v>427.63122662973007</v>
      </c>
      <c r="C142" s="23">
        <f t="shared" si="6"/>
        <v>279.4335854229368</v>
      </c>
      <c r="D142" s="23">
        <f t="shared" si="4"/>
        <v>148.19764120679326</v>
      </c>
      <c r="E142" s="31">
        <f t="shared" si="7"/>
        <v>40048.546741713464</v>
      </c>
    </row>
    <row r="143" spans="1:5" s="19" customFormat="1" x14ac:dyDescent="0.2">
      <c r="A143" s="22">
        <v>126</v>
      </c>
      <c r="B143" s="23">
        <f t="shared" si="5"/>
        <v>427.63122662973007</v>
      </c>
      <c r="C143" s="23">
        <f t="shared" si="6"/>
        <v>280.46045058944679</v>
      </c>
      <c r="D143" s="23">
        <f t="shared" si="4"/>
        <v>147.17077604028327</v>
      </c>
      <c r="E143" s="31">
        <f t="shared" si="7"/>
        <v>39768.086291124018</v>
      </c>
    </row>
    <row r="144" spans="1:5" s="19" customFormat="1" x14ac:dyDescent="0.2">
      <c r="A144" s="22">
        <v>127</v>
      </c>
      <c r="B144" s="23">
        <f t="shared" si="5"/>
        <v>427.63122662973007</v>
      </c>
      <c r="C144" s="23">
        <f t="shared" si="6"/>
        <v>281.49108928972362</v>
      </c>
      <c r="D144" s="23">
        <f t="shared" si="4"/>
        <v>146.14013734000642</v>
      </c>
      <c r="E144" s="31">
        <f t="shared" si="7"/>
        <v>39486.595201834294</v>
      </c>
    </row>
    <row r="145" spans="1:5" s="19" customFormat="1" x14ac:dyDescent="0.2">
      <c r="A145" s="22">
        <v>128</v>
      </c>
      <c r="B145" s="23">
        <f t="shared" si="5"/>
        <v>427.63122662973007</v>
      </c>
      <c r="C145" s="23">
        <f t="shared" si="6"/>
        <v>282.52551539078473</v>
      </c>
      <c r="D145" s="23">
        <f t="shared" si="4"/>
        <v>145.10571123894533</v>
      </c>
      <c r="E145" s="31">
        <f t="shared" si="7"/>
        <v>39204.069686443509</v>
      </c>
    </row>
    <row r="146" spans="1:5" s="19" customFormat="1" x14ac:dyDescent="0.2">
      <c r="A146" s="22">
        <v>129</v>
      </c>
      <c r="B146" s="23">
        <f t="shared" si="5"/>
        <v>427.63122662973007</v>
      </c>
      <c r="C146" s="23">
        <f t="shared" si="6"/>
        <v>283.56374281060607</v>
      </c>
      <c r="D146" s="23">
        <f t="shared" ref="D146:D209" si="8">E145*B$7</f>
        <v>144.06748381912402</v>
      </c>
      <c r="E146" s="31">
        <f t="shared" si="7"/>
        <v>38920.505943632903</v>
      </c>
    </row>
    <row r="147" spans="1:5" s="19" customFormat="1" x14ac:dyDescent="0.2">
      <c r="A147" s="22">
        <v>130</v>
      </c>
      <c r="B147" s="23">
        <f t="shared" ref="B147:B210" si="9">B$9</f>
        <v>427.63122662973007</v>
      </c>
      <c r="C147" s="23">
        <f t="shared" ref="C147:C210" si="10">B147-D147</f>
        <v>284.60578551830952</v>
      </c>
      <c r="D147" s="23">
        <f t="shared" si="8"/>
        <v>143.02544111142055</v>
      </c>
      <c r="E147" s="31">
        <f t="shared" ref="E147:E210" si="11">E146-C147</f>
        <v>38635.900158114593</v>
      </c>
    </row>
    <row r="148" spans="1:5" s="19" customFormat="1" x14ac:dyDescent="0.2">
      <c r="A148" s="22">
        <v>131</v>
      </c>
      <c r="B148" s="23">
        <f t="shared" si="9"/>
        <v>427.63122662973007</v>
      </c>
      <c r="C148" s="23">
        <f t="shared" si="10"/>
        <v>285.65165753435093</v>
      </c>
      <c r="D148" s="23">
        <f t="shared" si="8"/>
        <v>141.97956909537913</v>
      </c>
      <c r="E148" s="31">
        <f t="shared" si="11"/>
        <v>38350.248500580245</v>
      </c>
    </row>
    <row r="149" spans="1:5" s="19" customFormat="1" x14ac:dyDescent="0.2">
      <c r="A149" s="22">
        <v>132</v>
      </c>
      <c r="B149" s="23">
        <f t="shared" si="9"/>
        <v>427.63122662973007</v>
      </c>
      <c r="C149" s="23">
        <f t="shared" si="10"/>
        <v>286.70137293070854</v>
      </c>
      <c r="D149" s="23">
        <f t="shared" si="8"/>
        <v>140.92985369902155</v>
      </c>
      <c r="E149" s="31">
        <f t="shared" si="11"/>
        <v>38063.547127649537</v>
      </c>
    </row>
    <row r="150" spans="1:5" s="19" customFormat="1" x14ac:dyDescent="0.2">
      <c r="A150" s="22">
        <v>133</v>
      </c>
      <c r="B150" s="23">
        <f t="shared" si="9"/>
        <v>427.63122662973007</v>
      </c>
      <c r="C150" s="23">
        <f t="shared" si="10"/>
        <v>287.7549458310724</v>
      </c>
      <c r="D150" s="23">
        <f t="shared" si="8"/>
        <v>139.87628079865763</v>
      </c>
      <c r="E150" s="31">
        <f t="shared" si="11"/>
        <v>37775.792181818462</v>
      </c>
    </row>
    <row r="151" spans="1:5" s="19" customFormat="1" x14ac:dyDescent="0.2">
      <c r="A151" s="22">
        <v>134</v>
      </c>
      <c r="B151" s="23">
        <f t="shared" si="9"/>
        <v>427.63122662973007</v>
      </c>
      <c r="C151" s="23">
        <f t="shared" si="10"/>
        <v>288.8123904110347</v>
      </c>
      <c r="D151" s="23">
        <f t="shared" si="8"/>
        <v>138.8188362186954</v>
      </c>
      <c r="E151" s="31">
        <f t="shared" si="11"/>
        <v>37486.97979140743</v>
      </c>
    </row>
    <row r="152" spans="1:5" s="19" customFormat="1" x14ac:dyDescent="0.2">
      <c r="A152" s="22">
        <v>135</v>
      </c>
      <c r="B152" s="23">
        <f t="shared" si="9"/>
        <v>427.63122662973007</v>
      </c>
      <c r="C152" s="23">
        <f t="shared" si="10"/>
        <v>289.87372089827977</v>
      </c>
      <c r="D152" s="23">
        <f t="shared" si="8"/>
        <v>137.75750573145029</v>
      </c>
      <c r="E152" s="31">
        <f t="shared" si="11"/>
        <v>37197.106070509151</v>
      </c>
    </row>
    <row r="153" spans="1:5" s="19" customFormat="1" x14ac:dyDescent="0.2">
      <c r="A153" s="22">
        <v>136</v>
      </c>
      <c r="B153" s="23">
        <f t="shared" si="9"/>
        <v>427.63122662973007</v>
      </c>
      <c r="C153" s="23">
        <f t="shared" si="10"/>
        <v>290.93895157277638</v>
      </c>
      <c r="D153" s="23">
        <f t="shared" si="8"/>
        <v>136.69227505695369</v>
      </c>
      <c r="E153" s="31">
        <f t="shared" si="11"/>
        <v>36906.167118936377</v>
      </c>
    </row>
    <row r="154" spans="1:5" s="19" customFormat="1" x14ac:dyDescent="0.2">
      <c r="A154" s="22">
        <v>137</v>
      </c>
      <c r="B154" s="23">
        <f t="shared" si="9"/>
        <v>427.63122662973007</v>
      </c>
      <c r="C154" s="23">
        <f t="shared" si="10"/>
        <v>292.00809676696923</v>
      </c>
      <c r="D154" s="23">
        <f t="shared" si="8"/>
        <v>135.62312986276083</v>
      </c>
      <c r="E154" s="31">
        <f t="shared" si="11"/>
        <v>36614.159022169406</v>
      </c>
    </row>
    <row r="155" spans="1:5" s="19" customFormat="1" x14ac:dyDescent="0.2">
      <c r="A155" s="22">
        <v>138</v>
      </c>
      <c r="B155" s="23">
        <f t="shared" si="9"/>
        <v>427.63122662973007</v>
      </c>
      <c r="C155" s="23">
        <f t="shared" si="10"/>
        <v>293.08117086597218</v>
      </c>
      <c r="D155" s="23">
        <f t="shared" si="8"/>
        <v>134.55005576375788</v>
      </c>
      <c r="E155" s="31">
        <f t="shared" si="11"/>
        <v>36321.077851303431</v>
      </c>
    </row>
    <row r="156" spans="1:5" s="19" customFormat="1" x14ac:dyDescent="0.2">
      <c r="A156" s="22">
        <v>139</v>
      </c>
      <c r="B156" s="23">
        <f t="shared" si="9"/>
        <v>427.63122662973007</v>
      </c>
      <c r="C156" s="23">
        <f t="shared" si="10"/>
        <v>294.15818830776152</v>
      </c>
      <c r="D156" s="23">
        <f t="shared" si="8"/>
        <v>133.47303832196857</v>
      </c>
      <c r="E156" s="31">
        <f t="shared" si="11"/>
        <v>36026.919662995671</v>
      </c>
    </row>
    <row r="157" spans="1:5" s="19" customFormat="1" x14ac:dyDescent="0.2">
      <c r="A157" s="22">
        <v>140</v>
      </c>
      <c r="B157" s="23">
        <f t="shared" si="9"/>
        <v>427.63122662973007</v>
      </c>
      <c r="C157" s="23">
        <f t="shared" si="10"/>
        <v>295.23916358337033</v>
      </c>
      <c r="D157" s="23">
        <f t="shared" si="8"/>
        <v>132.39206304635974</v>
      </c>
      <c r="E157" s="31">
        <f t="shared" si="11"/>
        <v>35731.680499412301</v>
      </c>
    </row>
    <row r="158" spans="1:5" s="19" customFormat="1" x14ac:dyDescent="0.2">
      <c r="A158" s="22">
        <v>141</v>
      </c>
      <c r="B158" s="23">
        <f t="shared" si="9"/>
        <v>427.63122662973007</v>
      </c>
      <c r="C158" s="23">
        <f t="shared" si="10"/>
        <v>296.32411123708357</v>
      </c>
      <c r="D158" s="23">
        <f t="shared" si="8"/>
        <v>131.30711539264647</v>
      </c>
      <c r="E158" s="31">
        <f t="shared" si="11"/>
        <v>35435.35638817522</v>
      </c>
    </row>
    <row r="159" spans="1:5" s="19" customFormat="1" x14ac:dyDescent="0.2">
      <c r="A159" s="22">
        <v>142</v>
      </c>
      <c r="B159" s="23">
        <f t="shared" si="9"/>
        <v>427.63122662973007</v>
      </c>
      <c r="C159" s="23">
        <f t="shared" si="10"/>
        <v>297.41304586663375</v>
      </c>
      <c r="D159" s="23">
        <f t="shared" si="8"/>
        <v>130.21818076309634</v>
      </c>
      <c r="E159" s="31">
        <f t="shared" si="11"/>
        <v>35137.943342308587</v>
      </c>
    </row>
    <row r="160" spans="1:5" s="19" customFormat="1" x14ac:dyDescent="0.2">
      <c r="A160" s="22">
        <v>143</v>
      </c>
      <c r="B160" s="23">
        <f t="shared" si="9"/>
        <v>427.63122662973007</v>
      </c>
      <c r="C160" s="23">
        <f t="shared" si="10"/>
        <v>298.50598212339696</v>
      </c>
      <c r="D160" s="23">
        <f t="shared" si="8"/>
        <v>129.12524450633308</v>
      </c>
      <c r="E160" s="31">
        <f t="shared" si="11"/>
        <v>34839.437360185191</v>
      </c>
    </row>
    <row r="161" spans="1:5" s="19" customFormat="1" x14ac:dyDescent="0.2">
      <c r="A161" s="22">
        <v>144</v>
      </c>
      <c r="B161" s="23">
        <f t="shared" si="9"/>
        <v>427.63122662973007</v>
      </c>
      <c r="C161" s="23">
        <f t="shared" si="10"/>
        <v>299.6029347125907</v>
      </c>
      <c r="D161" s="23">
        <f t="shared" si="8"/>
        <v>128.0282919171394</v>
      </c>
      <c r="E161" s="31">
        <f t="shared" si="11"/>
        <v>34539.834425472603</v>
      </c>
    </row>
    <row r="162" spans="1:5" s="19" customFormat="1" x14ac:dyDescent="0.2">
      <c r="A162" s="22">
        <v>145</v>
      </c>
      <c r="B162" s="23">
        <f t="shared" si="9"/>
        <v>427.63122662973007</v>
      </c>
      <c r="C162" s="23">
        <f t="shared" si="10"/>
        <v>300.70391839347099</v>
      </c>
      <c r="D162" s="23">
        <f t="shared" si="8"/>
        <v>126.92730823625909</v>
      </c>
      <c r="E162" s="31">
        <f t="shared" si="11"/>
        <v>34239.130507079135</v>
      </c>
    </row>
    <row r="163" spans="1:5" s="19" customFormat="1" x14ac:dyDescent="0.2">
      <c r="A163" s="22">
        <v>146</v>
      </c>
      <c r="B163" s="23">
        <f t="shared" si="9"/>
        <v>427.63122662973007</v>
      </c>
      <c r="C163" s="23">
        <f t="shared" si="10"/>
        <v>301.80894797953147</v>
      </c>
      <c r="D163" s="23">
        <f t="shared" si="8"/>
        <v>125.82227865019858</v>
      </c>
      <c r="E163" s="31">
        <f t="shared" si="11"/>
        <v>33937.321559099604</v>
      </c>
    </row>
    <row r="164" spans="1:5" s="19" customFormat="1" x14ac:dyDescent="0.2">
      <c r="A164" s="22">
        <v>147</v>
      </c>
      <c r="B164" s="23">
        <f t="shared" si="9"/>
        <v>427.63122662973007</v>
      </c>
      <c r="C164" s="23">
        <f t="shared" si="10"/>
        <v>302.91803833870262</v>
      </c>
      <c r="D164" s="23">
        <f t="shared" si="8"/>
        <v>124.71318829102745</v>
      </c>
      <c r="E164" s="31">
        <f t="shared" si="11"/>
        <v>33634.403520760905</v>
      </c>
    </row>
    <row r="165" spans="1:5" s="19" customFormat="1" x14ac:dyDescent="0.2">
      <c r="A165" s="22">
        <v>148</v>
      </c>
      <c r="B165" s="23">
        <f t="shared" si="9"/>
        <v>427.63122662973007</v>
      </c>
      <c r="C165" s="23">
        <f t="shared" si="10"/>
        <v>304.03120439355155</v>
      </c>
      <c r="D165" s="23">
        <f t="shared" si="8"/>
        <v>123.6000222361785</v>
      </c>
      <c r="E165" s="31">
        <f t="shared" si="11"/>
        <v>33330.372316367357</v>
      </c>
    </row>
    <row r="166" spans="1:5" s="19" customFormat="1" x14ac:dyDescent="0.2">
      <c r="A166" s="22">
        <v>149</v>
      </c>
      <c r="B166" s="23">
        <f t="shared" si="9"/>
        <v>427.63122662973007</v>
      </c>
      <c r="C166" s="23">
        <f t="shared" si="10"/>
        <v>305.14846112148314</v>
      </c>
      <c r="D166" s="23">
        <f t="shared" si="8"/>
        <v>122.48276550824696</v>
      </c>
      <c r="E166" s="31">
        <f t="shared" si="11"/>
        <v>33025.223855245873</v>
      </c>
    </row>
    <row r="167" spans="1:5" s="19" customFormat="1" x14ac:dyDescent="0.2">
      <c r="A167" s="22">
        <v>150</v>
      </c>
      <c r="B167" s="23">
        <f t="shared" si="9"/>
        <v>427.63122662973007</v>
      </c>
      <c r="C167" s="23">
        <f t="shared" si="10"/>
        <v>306.26982355494118</v>
      </c>
      <c r="D167" s="23">
        <f t="shared" si="8"/>
        <v>121.3614030747889</v>
      </c>
      <c r="E167" s="31">
        <f t="shared" si="11"/>
        <v>32718.954031690933</v>
      </c>
    </row>
    <row r="168" spans="1:5" s="19" customFormat="1" x14ac:dyDescent="0.2">
      <c r="A168" s="22">
        <v>151</v>
      </c>
      <c r="B168" s="23">
        <f t="shared" si="9"/>
        <v>427.63122662973007</v>
      </c>
      <c r="C168" s="23">
        <f t="shared" si="10"/>
        <v>307.395306781611</v>
      </c>
      <c r="D168" s="23">
        <f t="shared" si="8"/>
        <v>120.23591984811907</v>
      </c>
      <c r="E168" s="31">
        <f t="shared" si="11"/>
        <v>32411.558724909322</v>
      </c>
    </row>
    <row r="169" spans="1:5" s="19" customFormat="1" x14ac:dyDescent="0.2">
      <c r="A169" s="22">
        <v>152</v>
      </c>
      <c r="B169" s="23">
        <f t="shared" si="9"/>
        <v>427.63122662973007</v>
      </c>
      <c r="C169" s="23">
        <f t="shared" si="10"/>
        <v>308.52492594462223</v>
      </c>
      <c r="D169" s="23">
        <f t="shared" si="8"/>
        <v>119.10630068510783</v>
      </c>
      <c r="E169" s="31">
        <f t="shared" si="11"/>
        <v>32103.033798964701</v>
      </c>
    </row>
    <row r="170" spans="1:5" s="19" customFormat="1" x14ac:dyDescent="0.2">
      <c r="A170" s="22">
        <v>153</v>
      </c>
      <c r="B170" s="23">
        <f t="shared" si="9"/>
        <v>427.63122662973007</v>
      </c>
      <c r="C170" s="23">
        <f t="shared" si="10"/>
        <v>309.65869624275263</v>
      </c>
      <c r="D170" s="23">
        <f t="shared" si="8"/>
        <v>117.97253038697745</v>
      </c>
      <c r="E170" s="31">
        <f t="shared" si="11"/>
        <v>31793.375102721948</v>
      </c>
    </row>
    <row r="171" spans="1:5" s="19" customFormat="1" x14ac:dyDescent="0.2">
      <c r="A171" s="22">
        <v>154</v>
      </c>
      <c r="B171" s="23">
        <f t="shared" si="9"/>
        <v>427.63122662973007</v>
      </c>
      <c r="C171" s="23">
        <f t="shared" si="10"/>
        <v>310.79663293063248</v>
      </c>
      <c r="D171" s="23">
        <f t="shared" si="8"/>
        <v>116.83459369909757</v>
      </c>
      <c r="E171" s="31">
        <f t="shared" si="11"/>
        <v>31482.578469791315</v>
      </c>
    </row>
    <row r="172" spans="1:5" s="19" customFormat="1" x14ac:dyDescent="0.2">
      <c r="A172" s="22">
        <v>155</v>
      </c>
      <c r="B172" s="23">
        <f t="shared" si="9"/>
        <v>427.63122662973007</v>
      </c>
      <c r="C172" s="23">
        <f t="shared" si="10"/>
        <v>311.9387513189501</v>
      </c>
      <c r="D172" s="23">
        <f t="shared" si="8"/>
        <v>115.69247531077995</v>
      </c>
      <c r="E172" s="31">
        <f t="shared" si="11"/>
        <v>31170.639718472365</v>
      </c>
    </row>
    <row r="173" spans="1:5" s="19" customFormat="1" x14ac:dyDescent="0.2">
      <c r="A173" s="22">
        <v>156</v>
      </c>
      <c r="B173" s="23">
        <f t="shared" si="9"/>
        <v>427.63122662973007</v>
      </c>
      <c r="C173" s="23">
        <f t="shared" si="10"/>
        <v>313.08506677465755</v>
      </c>
      <c r="D173" s="23">
        <f t="shared" si="8"/>
        <v>114.54615985507253</v>
      </c>
      <c r="E173" s="31">
        <f t="shared" si="11"/>
        <v>30857.554651697708</v>
      </c>
    </row>
    <row r="174" spans="1:5" s="19" customFormat="1" x14ac:dyDescent="0.2">
      <c r="A174" s="22">
        <v>157</v>
      </c>
      <c r="B174" s="23">
        <f t="shared" si="9"/>
        <v>427.63122662973007</v>
      </c>
      <c r="C174" s="23">
        <f t="shared" si="10"/>
        <v>314.23559472117745</v>
      </c>
      <c r="D174" s="23">
        <f t="shared" si="8"/>
        <v>113.39563190855263</v>
      </c>
      <c r="E174" s="31">
        <f t="shared" si="11"/>
        <v>30543.319056976532</v>
      </c>
    </row>
    <row r="175" spans="1:5" s="19" customFormat="1" x14ac:dyDescent="0.2">
      <c r="A175" s="22">
        <v>158</v>
      </c>
      <c r="B175" s="23">
        <f t="shared" si="9"/>
        <v>427.63122662973007</v>
      </c>
      <c r="C175" s="23">
        <f t="shared" si="10"/>
        <v>315.3903506386107</v>
      </c>
      <c r="D175" s="23">
        <f t="shared" si="8"/>
        <v>112.2408759911194</v>
      </c>
      <c r="E175" s="31">
        <f t="shared" si="11"/>
        <v>30227.92870633792</v>
      </c>
    </row>
    <row r="176" spans="1:5" s="19" customFormat="1" x14ac:dyDescent="0.2">
      <c r="A176" s="22">
        <v>159</v>
      </c>
      <c r="B176" s="23">
        <f t="shared" si="9"/>
        <v>427.63122662973007</v>
      </c>
      <c r="C176" s="23">
        <f t="shared" si="10"/>
        <v>316.54935006394453</v>
      </c>
      <c r="D176" s="23">
        <f t="shared" si="8"/>
        <v>111.08187656578554</v>
      </c>
      <c r="E176" s="31">
        <f t="shared" si="11"/>
        <v>29911.379356273974</v>
      </c>
    </row>
    <row r="177" spans="1:5" s="19" customFormat="1" x14ac:dyDescent="0.2">
      <c r="A177" s="22">
        <v>160</v>
      </c>
      <c r="B177" s="23">
        <f t="shared" si="9"/>
        <v>427.63122662973007</v>
      </c>
      <c r="C177" s="23">
        <f t="shared" si="10"/>
        <v>317.7126085912617</v>
      </c>
      <c r="D177" s="23">
        <f t="shared" si="8"/>
        <v>109.91861803846838</v>
      </c>
      <c r="E177" s="31">
        <f t="shared" si="11"/>
        <v>29593.666747682713</v>
      </c>
    </row>
    <row r="178" spans="1:5" s="19" customFormat="1" x14ac:dyDescent="0.2">
      <c r="A178" s="22">
        <v>161</v>
      </c>
      <c r="B178" s="23">
        <f t="shared" si="9"/>
        <v>427.63122662973007</v>
      </c>
      <c r="C178" s="23">
        <f t="shared" si="10"/>
        <v>318.88014187195017</v>
      </c>
      <c r="D178" s="23">
        <f t="shared" si="8"/>
        <v>108.75108475777989</v>
      </c>
      <c r="E178" s="31">
        <f t="shared" si="11"/>
        <v>29274.786605810765</v>
      </c>
    </row>
    <row r="179" spans="1:5" s="19" customFormat="1" x14ac:dyDescent="0.2">
      <c r="A179" s="22">
        <v>162</v>
      </c>
      <c r="B179" s="23">
        <f t="shared" si="9"/>
        <v>427.63122662973007</v>
      </c>
      <c r="C179" s="23">
        <f t="shared" si="10"/>
        <v>320.05196561491385</v>
      </c>
      <c r="D179" s="23">
        <f t="shared" si="8"/>
        <v>107.57926101481623</v>
      </c>
      <c r="E179" s="31">
        <f t="shared" si="11"/>
        <v>28954.734640195849</v>
      </c>
    </row>
    <row r="180" spans="1:5" s="19" customFormat="1" x14ac:dyDescent="0.2">
      <c r="A180" s="22">
        <v>163</v>
      </c>
      <c r="B180" s="23">
        <f t="shared" si="9"/>
        <v>427.63122662973007</v>
      </c>
      <c r="C180" s="23">
        <f t="shared" si="10"/>
        <v>321.22809558678381</v>
      </c>
      <c r="D180" s="23">
        <f t="shared" si="8"/>
        <v>106.40313104294624</v>
      </c>
      <c r="E180" s="31">
        <f t="shared" si="11"/>
        <v>28633.506544609067</v>
      </c>
    </row>
    <row r="181" spans="1:5" s="19" customFormat="1" x14ac:dyDescent="0.2">
      <c r="A181" s="22">
        <v>164</v>
      </c>
      <c r="B181" s="23">
        <f t="shared" si="9"/>
        <v>427.63122662973007</v>
      </c>
      <c r="C181" s="23">
        <f t="shared" si="10"/>
        <v>322.40854761213058</v>
      </c>
      <c r="D181" s="23">
        <f t="shared" si="8"/>
        <v>105.2226790175995</v>
      </c>
      <c r="E181" s="31">
        <f t="shared" si="11"/>
        <v>28311.097996996938</v>
      </c>
    </row>
    <row r="182" spans="1:5" s="19" customFormat="1" x14ac:dyDescent="0.2">
      <c r="A182" s="22">
        <v>165</v>
      </c>
      <c r="B182" s="23">
        <f t="shared" si="9"/>
        <v>427.63122662973007</v>
      </c>
      <c r="C182" s="23">
        <f t="shared" si="10"/>
        <v>323.59333757367682</v>
      </c>
      <c r="D182" s="23">
        <f t="shared" si="8"/>
        <v>104.03788905605326</v>
      </c>
      <c r="E182" s="31">
        <f t="shared" si="11"/>
        <v>27987.504659423259</v>
      </c>
    </row>
    <row r="183" spans="1:5" s="19" customFormat="1" x14ac:dyDescent="0.2">
      <c r="A183" s="22">
        <v>166</v>
      </c>
      <c r="B183" s="23">
        <f t="shared" si="9"/>
        <v>427.63122662973007</v>
      </c>
      <c r="C183" s="23">
        <f t="shared" si="10"/>
        <v>324.78248141251129</v>
      </c>
      <c r="D183" s="23">
        <f t="shared" si="8"/>
        <v>102.84874521721878</v>
      </c>
      <c r="E183" s="31">
        <f t="shared" si="11"/>
        <v>27662.722178010747</v>
      </c>
    </row>
    <row r="184" spans="1:5" s="19" customFormat="1" x14ac:dyDescent="0.2">
      <c r="A184" s="22">
        <v>167</v>
      </c>
      <c r="B184" s="23">
        <f t="shared" si="9"/>
        <v>427.63122662973007</v>
      </c>
      <c r="C184" s="23">
        <f t="shared" si="10"/>
        <v>325.97599512830323</v>
      </c>
      <c r="D184" s="23">
        <f t="shared" si="8"/>
        <v>101.65523150142687</v>
      </c>
      <c r="E184" s="31">
        <f t="shared" si="11"/>
        <v>27336.746182882442</v>
      </c>
    </row>
    <row r="185" spans="1:5" s="19" customFormat="1" x14ac:dyDescent="0.2">
      <c r="A185" s="22">
        <v>168</v>
      </c>
      <c r="B185" s="23">
        <f t="shared" si="9"/>
        <v>427.63122662973007</v>
      </c>
      <c r="C185" s="23">
        <f t="shared" si="10"/>
        <v>327.17389477951747</v>
      </c>
      <c r="D185" s="23">
        <f t="shared" si="8"/>
        <v>100.45733185021261</v>
      </c>
      <c r="E185" s="31">
        <f t="shared" si="11"/>
        <v>27009.572288102925</v>
      </c>
    </row>
    <row r="186" spans="1:5" s="19" customFormat="1" x14ac:dyDescent="0.2">
      <c r="A186" s="22">
        <v>169</v>
      </c>
      <c r="B186" s="23">
        <f t="shared" si="9"/>
        <v>427.63122662973007</v>
      </c>
      <c r="C186" s="23">
        <f t="shared" si="10"/>
        <v>328.37619648363079</v>
      </c>
      <c r="D186" s="23">
        <f t="shared" si="8"/>
        <v>99.255030146099301</v>
      </c>
      <c r="E186" s="31">
        <f t="shared" si="11"/>
        <v>26681.196091619295</v>
      </c>
    </row>
    <row r="187" spans="1:5" s="19" customFormat="1" x14ac:dyDescent="0.2">
      <c r="A187" s="22">
        <v>170</v>
      </c>
      <c r="B187" s="23">
        <f t="shared" si="9"/>
        <v>427.63122662973007</v>
      </c>
      <c r="C187" s="23">
        <f t="shared" si="10"/>
        <v>329.58291641734849</v>
      </c>
      <c r="D187" s="23">
        <f t="shared" si="8"/>
        <v>98.048310212381566</v>
      </c>
      <c r="E187" s="31">
        <f t="shared" si="11"/>
        <v>26351.613175201946</v>
      </c>
    </row>
    <row r="188" spans="1:5" s="19" customFormat="1" x14ac:dyDescent="0.2">
      <c r="A188" s="22">
        <v>171</v>
      </c>
      <c r="B188" s="23">
        <f t="shared" si="9"/>
        <v>427.63122662973007</v>
      </c>
      <c r="C188" s="23">
        <f t="shared" si="10"/>
        <v>330.79407081682234</v>
      </c>
      <c r="D188" s="23">
        <f t="shared" si="8"/>
        <v>96.837155812907696</v>
      </c>
      <c r="E188" s="31">
        <f t="shared" si="11"/>
        <v>26020.819104385126</v>
      </c>
    </row>
    <row r="189" spans="1:5" s="19" customFormat="1" x14ac:dyDescent="0.2">
      <c r="A189" s="22">
        <v>172</v>
      </c>
      <c r="B189" s="23">
        <f t="shared" si="9"/>
        <v>427.63122662973007</v>
      </c>
      <c r="C189" s="23">
        <f t="shared" si="10"/>
        <v>332.00967597786882</v>
      </c>
      <c r="D189" s="23">
        <f t="shared" si="8"/>
        <v>95.62155065186127</v>
      </c>
      <c r="E189" s="31">
        <f t="shared" si="11"/>
        <v>25688.809428407258</v>
      </c>
    </row>
    <row r="190" spans="1:5" s="19" customFormat="1" x14ac:dyDescent="0.2">
      <c r="A190" s="22">
        <v>173</v>
      </c>
      <c r="B190" s="23">
        <f t="shared" si="9"/>
        <v>427.63122662973007</v>
      </c>
      <c r="C190" s="23">
        <f t="shared" si="10"/>
        <v>333.22974825618826</v>
      </c>
      <c r="D190" s="23">
        <f t="shared" si="8"/>
        <v>94.401478373541806</v>
      </c>
      <c r="E190" s="31">
        <f t="shared" si="11"/>
        <v>25355.57968015107</v>
      </c>
    </row>
    <row r="191" spans="1:5" s="19" customFormat="1" x14ac:dyDescent="0.2">
      <c r="A191" s="22">
        <v>174</v>
      </c>
      <c r="B191" s="23">
        <f t="shared" si="9"/>
        <v>427.63122662973007</v>
      </c>
      <c r="C191" s="23">
        <f t="shared" si="10"/>
        <v>334.45430406758533</v>
      </c>
      <c r="D191" s="23">
        <f t="shared" si="8"/>
        <v>93.176922562144767</v>
      </c>
      <c r="E191" s="31">
        <f t="shared" si="11"/>
        <v>25021.125376083484</v>
      </c>
    </row>
    <row r="192" spans="1:5" s="19" customFormat="1" x14ac:dyDescent="0.2">
      <c r="A192" s="22">
        <v>175</v>
      </c>
      <c r="B192" s="23">
        <f t="shared" si="9"/>
        <v>427.63122662973007</v>
      </c>
      <c r="C192" s="23">
        <f t="shared" si="10"/>
        <v>335.68335988818944</v>
      </c>
      <c r="D192" s="23">
        <f t="shared" si="8"/>
        <v>91.947866741540636</v>
      </c>
      <c r="E192" s="31">
        <f t="shared" si="11"/>
        <v>24685.442016195295</v>
      </c>
    </row>
    <row r="193" spans="1:5" s="19" customFormat="1" x14ac:dyDescent="0.2">
      <c r="A193" s="22">
        <v>176</v>
      </c>
      <c r="B193" s="23">
        <f t="shared" si="9"/>
        <v>427.63122662973007</v>
      </c>
      <c r="C193" s="23">
        <f t="shared" si="10"/>
        <v>336.91693225467679</v>
      </c>
      <c r="D193" s="23">
        <f t="shared" si="8"/>
        <v>90.714294375053299</v>
      </c>
      <c r="E193" s="31">
        <f t="shared" si="11"/>
        <v>24348.525083940618</v>
      </c>
    </row>
    <row r="194" spans="1:5" s="19" customFormat="1" x14ac:dyDescent="0.2">
      <c r="A194" s="22">
        <v>177</v>
      </c>
      <c r="B194" s="23">
        <f t="shared" si="9"/>
        <v>427.63122662973007</v>
      </c>
      <c r="C194" s="23">
        <f t="shared" si="10"/>
        <v>338.15503776449259</v>
      </c>
      <c r="D194" s="23">
        <f t="shared" si="8"/>
        <v>89.476188865237461</v>
      </c>
      <c r="E194" s="31">
        <f t="shared" si="11"/>
        <v>24010.370046176125</v>
      </c>
    </row>
    <row r="195" spans="1:5" s="19" customFormat="1" x14ac:dyDescent="0.2">
      <c r="A195" s="22">
        <v>178</v>
      </c>
      <c r="B195" s="23">
        <f t="shared" si="9"/>
        <v>427.63122662973007</v>
      </c>
      <c r="C195" s="23">
        <f t="shared" si="10"/>
        <v>339.39769307607463</v>
      </c>
      <c r="D195" s="23">
        <f t="shared" si="8"/>
        <v>88.23353355365542</v>
      </c>
      <c r="E195" s="31">
        <f t="shared" si="11"/>
        <v>23670.972353100049</v>
      </c>
    </row>
    <row r="196" spans="1:5" s="19" customFormat="1" x14ac:dyDescent="0.2">
      <c r="A196" s="22">
        <v>179</v>
      </c>
      <c r="B196" s="23">
        <f t="shared" si="9"/>
        <v>427.63122662973007</v>
      </c>
      <c r="C196" s="23">
        <f t="shared" si="10"/>
        <v>340.64491490907722</v>
      </c>
      <c r="D196" s="23">
        <f t="shared" si="8"/>
        <v>86.986311720652878</v>
      </c>
      <c r="E196" s="31">
        <f t="shared" si="11"/>
        <v>23330.327438190972</v>
      </c>
    </row>
    <row r="197" spans="1:5" s="19" customFormat="1" x14ac:dyDescent="0.2">
      <c r="A197" s="22">
        <v>180</v>
      </c>
      <c r="B197" s="23">
        <f t="shared" si="9"/>
        <v>427.63122662973007</v>
      </c>
      <c r="C197" s="23">
        <f t="shared" si="10"/>
        <v>341.89672004459607</v>
      </c>
      <c r="D197" s="23">
        <f t="shared" si="8"/>
        <v>85.734506585133985</v>
      </c>
      <c r="E197" s="31">
        <f t="shared" si="11"/>
        <v>22988.430718146377</v>
      </c>
    </row>
    <row r="198" spans="1:5" s="19" customFormat="1" x14ac:dyDescent="0.2">
      <c r="A198" s="22">
        <v>181</v>
      </c>
      <c r="B198" s="23">
        <f t="shared" si="9"/>
        <v>427.63122662973007</v>
      </c>
      <c r="C198" s="23">
        <f t="shared" si="10"/>
        <v>343.15312532539451</v>
      </c>
      <c r="D198" s="23">
        <f t="shared" si="8"/>
        <v>84.478101304335581</v>
      </c>
      <c r="E198" s="31">
        <f t="shared" si="11"/>
        <v>22645.277592820981</v>
      </c>
    </row>
    <row r="199" spans="1:5" s="19" customFormat="1" x14ac:dyDescent="0.2">
      <c r="A199" s="22">
        <v>182</v>
      </c>
      <c r="B199" s="23">
        <f t="shared" si="9"/>
        <v>427.63122662973007</v>
      </c>
      <c r="C199" s="23">
        <f t="shared" si="10"/>
        <v>344.41414765612956</v>
      </c>
      <c r="D199" s="23">
        <f t="shared" si="8"/>
        <v>83.217078973600536</v>
      </c>
      <c r="E199" s="31">
        <f t="shared" si="11"/>
        <v>22300.86344516485</v>
      </c>
    </row>
    <row r="200" spans="1:5" s="19" customFormat="1" x14ac:dyDescent="0.2">
      <c r="A200" s="22">
        <v>183</v>
      </c>
      <c r="B200" s="23">
        <f t="shared" si="9"/>
        <v>427.63122662973007</v>
      </c>
      <c r="C200" s="23">
        <f t="shared" si="10"/>
        <v>345.6798040035797</v>
      </c>
      <c r="D200" s="23">
        <f t="shared" si="8"/>
        <v>81.951422626150347</v>
      </c>
      <c r="E200" s="31">
        <f t="shared" si="11"/>
        <v>21955.183641161271</v>
      </c>
    </row>
    <row r="201" spans="1:5" s="19" customFormat="1" x14ac:dyDescent="0.2">
      <c r="A201" s="22">
        <v>184</v>
      </c>
      <c r="B201" s="23">
        <f t="shared" si="9"/>
        <v>427.63122662973007</v>
      </c>
      <c r="C201" s="23">
        <f t="shared" si="10"/>
        <v>346.95011139687324</v>
      </c>
      <c r="D201" s="23">
        <f t="shared" si="8"/>
        <v>80.681115232856826</v>
      </c>
      <c r="E201" s="31">
        <f t="shared" si="11"/>
        <v>21608.233529764399</v>
      </c>
    </row>
    <row r="202" spans="1:5" s="19" customFormat="1" x14ac:dyDescent="0.2">
      <c r="A202" s="22">
        <v>185</v>
      </c>
      <c r="B202" s="23">
        <f t="shared" si="9"/>
        <v>427.63122662973007</v>
      </c>
      <c r="C202" s="23">
        <f t="shared" si="10"/>
        <v>348.22508692771709</v>
      </c>
      <c r="D202" s="23">
        <f t="shared" si="8"/>
        <v>79.406139702012979</v>
      </c>
      <c r="E202" s="31">
        <f t="shared" si="11"/>
        <v>21260.008442836683</v>
      </c>
    </row>
    <row r="203" spans="1:5" s="19" customFormat="1" x14ac:dyDescent="0.2">
      <c r="A203" s="22">
        <v>186</v>
      </c>
      <c r="B203" s="23">
        <f t="shared" si="9"/>
        <v>427.63122662973007</v>
      </c>
      <c r="C203" s="23">
        <f t="shared" si="10"/>
        <v>349.50474775062696</v>
      </c>
      <c r="D203" s="23">
        <f t="shared" si="8"/>
        <v>78.126478879103075</v>
      </c>
      <c r="E203" s="31">
        <f t="shared" si="11"/>
        <v>20910.503695086056</v>
      </c>
    </row>
    <row r="204" spans="1:5" s="19" customFormat="1" x14ac:dyDescent="0.2">
      <c r="A204" s="22">
        <v>187</v>
      </c>
      <c r="B204" s="23">
        <f t="shared" si="9"/>
        <v>427.63122662973007</v>
      </c>
      <c r="C204" s="23">
        <f t="shared" si="10"/>
        <v>350.78911108315833</v>
      </c>
      <c r="D204" s="23">
        <f t="shared" si="8"/>
        <v>76.842115546571762</v>
      </c>
      <c r="E204" s="31">
        <f t="shared" si="11"/>
        <v>20559.714584002897</v>
      </c>
    </row>
    <row r="205" spans="1:5" s="19" customFormat="1" x14ac:dyDescent="0.2">
      <c r="A205" s="22">
        <v>188</v>
      </c>
      <c r="B205" s="23">
        <f t="shared" si="9"/>
        <v>427.63122662973007</v>
      </c>
      <c r="C205" s="23">
        <f t="shared" si="10"/>
        <v>352.0781942061376</v>
      </c>
      <c r="D205" s="23">
        <f t="shared" si="8"/>
        <v>75.553032423592484</v>
      </c>
      <c r="E205" s="31">
        <f t="shared" si="11"/>
        <v>20207.63638979676</v>
      </c>
    </row>
    <row r="206" spans="1:5" s="19" customFormat="1" x14ac:dyDescent="0.2">
      <c r="A206" s="22">
        <v>189</v>
      </c>
      <c r="B206" s="23">
        <f t="shared" si="9"/>
        <v>427.63122662973007</v>
      </c>
      <c r="C206" s="23">
        <f t="shared" si="10"/>
        <v>353.37201446389514</v>
      </c>
      <c r="D206" s="23">
        <f t="shared" si="8"/>
        <v>74.259212165834938</v>
      </c>
      <c r="E206" s="31">
        <f t="shared" si="11"/>
        <v>19854.264375332867</v>
      </c>
    </row>
    <row r="207" spans="1:5" s="19" customFormat="1" x14ac:dyDescent="0.2">
      <c r="A207" s="22">
        <v>190</v>
      </c>
      <c r="B207" s="23">
        <f t="shared" si="9"/>
        <v>427.63122662973007</v>
      </c>
      <c r="C207" s="23">
        <f t="shared" si="10"/>
        <v>354.67058926449835</v>
      </c>
      <c r="D207" s="23">
        <f t="shared" si="8"/>
        <v>72.960637365231705</v>
      </c>
      <c r="E207" s="31">
        <f t="shared" si="11"/>
        <v>19499.59378606837</v>
      </c>
    </row>
    <row r="208" spans="1:5" s="19" customFormat="1" x14ac:dyDescent="0.2">
      <c r="A208" s="22">
        <v>191</v>
      </c>
      <c r="B208" s="23">
        <f t="shared" si="9"/>
        <v>427.63122662973007</v>
      </c>
      <c r="C208" s="23">
        <f t="shared" si="10"/>
        <v>355.973936079986</v>
      </c>
      <c r="D208" s="23">
        <f t="shared" si="8"/>
        <v>71.657290549744062</v>
      </c>
      <c r="E208" s="31">
        <f t="shared" si="11"/>
        <v>19143.619849988383</v>
      </c>
    </row>
    <row r="209" spans="1:5" s="19" customFormat="1" x14ac:dyDescent="0.2">
      <c r="A209" s="22">
        <v>192</v>
      </c>
      <c r="B209" s="23">
        <f t="shared" si="9"/>
        <v>427.63122662973007</v>
      </c>
      <c r="C209" s="23">
        <f t="shared" si="10"/>
        <v>357.28207244660325</v>
      </c>
      <c r="D209" s="23">
        <f t="shared" si="8"/>
        <v>70.349154183126814</v>
      </c>
      <c r="E209" s="31">
        <f t="shared" si="11"/>
        <v>18786.337777541779</v>
      </c>
    </row>
    <row r="210" spans="1:5" s="19" customFormat="1" x14ac:dyDescent="0.2">
      <c r="A210" s="22">
        <v>193</v>
      </c>
      <c r="B210" s="23">
        <f t="shared" si="9"/>
        <v>427.63122662973007</v>
      </c>
      <c r="C210" s="23">
        <f t="shared" si="10"/>
        <v>358.59501596503759</v>
      </c>
      <c r="D210" s="23">
        <f t="shared" ref="D210:D273" si="12">E209*B$7</f>
        <v>69.036210664692476</v>
      </c>
      <c r="E210" s="31">
        <f t="shared" si="11"/>
        <v>18427.742761576741</v>
      </c>
    </row>
    <row r="211" spans="1:5" s="19" customFormat="1" x14ac:dyDescent="0.2">
      <c r="A211" s="22">
        <v>194</v>
      </c>
      <c r="B211" s="23">
        <f t="shared" ref="B211:B274" si="13">B$9</f>
        <v>427.63122662973007</v>
      </c>
      <c r="C211" s="23">
        <f t="shared" ref="C211:C274" si="14">B211-D211</f>
        <v>359.91278430065574</v>
      </c>
      <c r="D211" s="23">
        <f t="shared" si="12"/>
        <v>67.71844232907435</v>
      </c>
      <c r="E211" s="31">
        <f t="shared" ref="E211:E274" si="15">E210-C211</f>
        <v>18067.829977276084</v>
      </c>
    </row>
    <row r="212" spans="1:5" s="19" customFormat="1" x14ac:dyDescent="0.2">
      <c r="A212" s="22">
        <v>195</v>
      </c>
      <c r="B212" s="23">
        <f t="shared" si="13"/>
        <v>427.63122662973007</v>
      </c>
      <c r="C212" s="23">
        <f t="shared" si="14"/>
        <v>361.23539518374116</v>
      </c>
      <c r="D212" s="23">
        <f t="shared" si="12"/>
        <v>66.395831445988904</v>
      </c>
      <c r="E212" s="31">
        <f t="shared" si="15"/>
        <v>17706.594582092344</v>
      </c>
    </row>
    <row r="213" spans="1:5" s="19" customFormat="1" x14ac:dyDescent="0.2">
      <c r="A213" s="22">
        <v>196</v>
      </c>
      <c r="B213" s="23">
        <f t="shared" si="13"/>
        <v>427.63122662973007</v>
      </c>
      <c r="C213" s="23">
        <f t="shared" si="14"/>
        <v>362.56286640973292</v>
      </c>
      <c r="D213" s="23">
        <f t="shared" si="12"/>
        <v>65.068360219997174</v>
      </c>
      <c r="E213" s="31">
        <f t="shared" si="15"/>
        <v>17344.031715682613</v>
      </c>
    </row>
    <row r="214" spans="1:5" s="19" customFormat="1" x14ac:dyDescent="0.2">
      <c r="A214" s="22">
        <v>197</v>
      </c>
      <c r="B214" s="23">
        <f t="shared" si="13"/>
        <v>427.63122662973007</v>
      </c>
      <c r="C214" s="23">
        <f t="shared" si="14"/>
        <v>363.8952158394647</v>
      </c>
      <c r="D214" s="23">
        <f t="shared" si="12"/>
        <v>63.736010790265361</v>
      </c>
      <c r="E214" s="31">
        <f t="shared" si="15"/>
        <v>16980.136499843149</v>
      </c>
    </row>
    <row r="215" spans="1:5" s="19" customFormat="1" x14ac:dyDescent="0.2">
      <c r="A215" s="22">
        <v>198</v>
      </c>
      <c r="B215" s="23">
        <f t="shared" si="13"/>
        <v>427.63122662973007</v>
      </c>
      <c r="C215" s="23">
        <f t="shared" si="14"/>
        <v>365.23246139940557</v>
      </c>
      <c r="D215" s="23">
        <f t="shared" si="12"/>
        <v>62.3987652303245</v>
      </c>
      <c r="E215" s="31">
        <f t="shared" si="15"/>
        <v>16614.904038443743</v>
      </c>
    </row>
    <row r="216" spans="1:5" s="19" customFormat="1" x14ac:dyDescent="0.2">
      <c r="A216" s="22">
        <v>199</v>
      </c>
      <c r="B216" s="23">
        <f t="shared" si="13"/>
        <v>427.63122662973007</v>
      </c>
      <c r="C216" s="23">
        <f t="shared" si="14"/>
        <v>366.57462108190077</v>
      </c>
      <c r="D216" s="23">
        <f t="shared" si="12"/>
        <v>61.056605547829271</v>
      </c>
      <c r="E216" s="31">
        <f t="shared" si="15"/>
        <v>16248.329417361841</v>
      </c>
    </row>
    <row r="217" spans="1:5" s="19" customFormat="1" x14ac:dyDescent="0.2">
      <c r="A217" s="22">
        <v>200</v>
      </c>
      <c r="B217" s="23">
        <f t="shared" si="13"/>
        <v>427.63122662973007</v>
      </c>
      <c r="C217" s="23">
        <f t="shared" si="14"/>
        <v>367.92171294541413</v>
      </c>
      <c r="D217" s="23">
        <f t="shared" si="12"/>
        <v>59.709513684315922</v>
      </c>
      <c r="E217" s="31">
        <f t="shared" si="15"/>
        <v>15880.407704416428</v>
      </c>
    </row>
    <row r="218" spans="1:5" s="19" customFormat="1" x14ac:dyDescent="0.2">
      <c r="A218" s="22">
        <v>201</v>
      </c>
      <c r="B218" s="23">
        <f t="shared" si="13"/>
        <v>427.63122662973007</v>
      </c>
      <c r="C218" s="23">
        <f t="shared" si="14"/>
        <v>369.27375511477078</v>
      </c>
      <c r="D218" s="23">
        <f t="shared" si="12"/>
        <v>58.357471514959286</v>
      </c>
      <c r="E218" s="31">
        <f t="shared" si="15"/>
        <v>15511.133949301657</v>
      </c>
    </row>
    <row r="219" spans="1:5" s="19" customFormat="1" x14ac:dyDescent="0.2">
      <c r="A219" s="22">
        <v>202</v>
      </c>
      <c r="B219" s="23">
        <f t="shared" si="13"/>
        <v>427.63122662973007</v>
      </c>
      <c r="C219" s="23">
        <f t="shared" si="14"/>
        <v>370.63076578140112</v>
      </c>
      <c r="D219" s="23">
        <f t="shared" si="12"/>
        <v>57.000460848328913</v>
      </c>
      <c r="E219" s="31">
        <f t="shared" si="15"/>
        <v>15140.503183520255</v>
      </c>
    </row>
    <row r="220" spans="1:5" s="19" customFormat="1" x14ac:dyDescent="0.2">
      <c r="A220" s="22">
        <v>203</v>
      </c>
      <c r="B220" s="23">
        <f t="shared" si="13"/>
        <v>427.63122662973007</v>
      </c>
      <c r="C220" s="23">
        <f t="shared" si="14"/>
        <v>371.99276320358575</v>
      </c>
      <c r="D220" s="23">
        <f t="shared" si="12"/>
        <v>55.638463426144313</v>
      </c>
      <c r="E220" s="31">
        <f t="shared" si="15"/>
        <v>14768.51042031667</v>
      </c>
    </row>
    <row r="221" spans="1:5" s="19" customFormat="1" x14ac:dyDescent="0.2">
      <c r="A221" s="22">
        <v>204</v>
      </c>
      <c r="B221" s="23">
        <f t="shared" si="13"/>
        <v>427.63122662973007</v>
      </c>
      <c r="C221" s="23">
        <f t="shared" si="14"/>
        <v>373.35976570670078</v>
      </c>
      <c r="D221" s="23">
        <f t="shared" si="12"/>
        <v>54.271460923029295</v>
      </c>
      <c r="E221" s="31">
        <f t="shared" si="15"/>
        <v>14395.15065460997</v>
      </c>
    </row>
    <row r="222" spans="1:5" s="19" customFormat="1" x14ac:dyDescent="0.2">
      <c r="A222" s="22">
        <v>205</v>
      </c>
      <c r="B222" s="23">
        <f t="shared" si="13"/>
        <v>427.63122662973007</v>
      </c>
      <c r="C222" s="23">
        <f t="shared" si="14"/>
        <v>374.73179168346462</v>
      </c>
      <c r="D222" s="23">
        <f t="shared" si="12"/>
        <v>52.899434946265416</v>
      </c>
      <c r="E222" s="31">
        <f t="shared" si="15"/>
        <v>14020.418862926505</v>
      </c>
    </row>
    <row r="223" spans="1:5" s="19" customFormat="1" x14ac:dyDescent="0.2">
      <c r="A223" s="22">
        <v>206</v>
      </c>
      <c r="B223" s="23">
        <f t="shared" si="13"/>
        <v>427.63122662973007</v>
      </c>
      <c r="C223" s="23">
        <f t="shared" si="14"/>
        <v>376.10885959418562</v>
      </c>
      <c r="D223" s="23">
        <f t="shared" si="12"/>
        <v>51.52236703554447</v>
      </c>
      <c r="E223" s="31">
        <f t="shared" si="15"/>
        <v>13644.310003332319</v>
      </c>
    </row>
    <row r="224" spans="1:5" s="19" customFormat="1" x14ac:dyDescent="0.2">
      <c r="A224" s="22">
        <v>207</v>
      </c>
      <c r="B224" s="23">
        <f t="shared" si="13"/>
        <v>427.63122662973007</v>
      </c>
      <c r="C224" s="23">
        <f t="shared" si="14"/>
        <v>377.49098796700991</v>
      </c>
      <c r="D224" s="23">
        <f t="shared" si="12"/>
        <v>50.140238662720172</v>
      </c>
      <c r="E224" s="31">
        <f t="shared" si="15"/>
        <v>13266.819015365309</v>
      </c>
    </row>
    <row r="225" spans="1:5" s="19" customFormat="1" x14ac:dyDescent="0.2">
      <c r="A225" s="22">
        <v>208</v>
      </c>
      <c r="B225" s="23">
        <f t="shared" si="13"/>
        <v>427.63122662973007</v>
      </c>
      <c r="C225" s="23">
        <f t="shared" si="14"/>
        <v>378.87819539817127</v>
      </c>
      <c r="D225" s="23">
        <f t="shared" si="12"/>
        <v>48.753031231558808</v>
      </c>
      <c r="E225" s="31">
        <f t="shared" si="15"/>
        <v>12887.940819967138</v>
      </c>
    </row>
    <row r="226" spans="1:5" s="19" customFormat="1" x14ac:dyDescent="0.2">
      <c r="A226" s="22">
        <v>209</v>
      </c>
      <c r="B226" s="23">
        <f t="shared" si="13"/>
        <v>427.63122662973007</v>
      </c>
      <c r="C226" s="23">
        <f t="shared" si="14"/>
        <v>380.270500552241</v>
      </c>
      <c r="D226" s="23">
        <f t="shared" si="12"/>
        <v>47.360726077489062</v>
      </c>
      <c r="E226" s="31">
        <f t="shared" si="15"/>
        <v>12507.670319414898</v>
      </c>
    </row>
    <row r="227" spans="1:5" s="19" customFormat="1" x14ac:dyDescent="0.2">
      <c r="A227" s="22">
        <v>210</v>
      </c>
      <c r="B227" s="23">
        <f t="shared" si="13"/>
        <v>427.63122662973007</v>
      </c>
      <c r="C227" s="23">
        <f t="shared" si="14"/>
        <v>381.66792216237923</v>
      </c>
      <c r="D227" s="23">
        <f t="shared" si="12"/>
        <v>45.963304467350859</v>
      </c>
      <c r="E227" s="31">
        <f t="shared" si="15"/>
        <v>12126.002397252518</v>
      </c>
    </row>
    <row r="228" spans="1:5" s="19" customFormat="1" x14ac:dyDescent="0.2">
      <c r="A228" s="22">
        <v>211</v>
      </c>
      <c r="B228" s="23">
        <f t="shared" si="13"/>
        <v>427.63122662973007</v>
      </c>
      <c r="C228" s="23">
        <f t="shared" si="14"/>
        <v>383.07047903058674</v>
      </c>
      <c r="D228" s="23">
        <f t="shared" si="12"/>
        <v>44.560747599143347</v>
      </c>
      <c r="E228" s="31">
        <f t="shared" si="15"/>
        <v>11742.931918221931</v>
      </c>
    </row>
    <row r="229" spans="1:5" s="19" customFormat="1" x14ac:dyDescent="0.2">
      <c r="A229" s="22">
        <v>212</v>
      </c>
      <c r="B229" s="23">
        <f t="shared" si="13"/>
        <v>427.63122662973007</v>
      </c>
      <c r="C229" s="23">
        <f t="shared" si="14"/>
        <v>384.47819002795814</v>
      </c>
      <c r="D229" s="23">
        <f t="shared" si="12"/>
        <v>43.153036601771902</v>
      </c>
      <c r="E229" s="31">
        <f t="shared" si="15"/>
        <v>11358.453728193974</v>
      </c>
    </row>
    <row r="230" spans="1:5" s="19" customFormat="1" x14ac:dyDescent="0.2">
      <c r="A230" s="22">
        <v>213</v>
      </c>
      <c r="B230" s="23">
        <f t="shared" si="13"/>
        <v>427.63122662973007</v>
      </c>
      <c r="C230" s="23">
        <f t="shared" si="14"/>
        <v>385.89107409493585</v>
      </c>
      <c r="D230" s="23">
        <f t="shared" si="12"/>
        <v>41.74015253479422</v>
      </c>
      <c r="E230" s="31">
        <f t="shared" si="15"/>
        <v>10972.562654099038</v>
      </c>
    </row>
    <row r="231" spans="1:5" s="19" customFormat="1" x14ac:dyDescent="0.2">
      <c r="A231" s="22">
        <v>214</v>
      </c>
      <c r="B231" s="23">
        <f t="shared" si="13"/>
        <v>427.63122662973007</v>
      </c>
      <c r="C231" s="23">
        <f t="shared" si="14"/>
        <v>387.30915024156457</v>
      </c>
      <c r="D231" s="23">
        <f t="shared" si="12"/>
        <v>40.32207638816547</v>
      </c>
      <c r="E231" s="31">
        <f t="shared" si="15"/>
        <v>10585.253503857473</v>
      </c>
    </row>
    <row r="232" spans="1:5" s="19" customFormat="1" x14ac:dyDescent="0.2">
      <c r="A232" s="22">
        <v>215</v>
      </c>
      <c r="B232" s="23">
        <f t="shared" si="13"/>
        <v>427.63122662973007</v>
      </c>
      <c r="C232" s="23">
        <f t="shared" si="14"/>
        <v>388.73243754774751</v>
      </c>
      <c r="D232" s="23">
        <f t="shared" si="12"/>
        <v>38.898789081982564</v>
      </c>
      <c r="E232" s="31">
        <f t="shared" si="15"/>
        <v>10196.521066309726</v>
      </c>
    </row>
    <row r="233" spans="1:5" s="19" customFormat="1" x14ac:dyDescent="0.2">
      <c r="A233" s="22">
        <v>216</v>
      </c>
      <c r="B233" s="23">
        <f t="shared" si="13"/>
        <v>427.63122662973007</v>
      </c>
      <c r="C233" s="23">
        <f t="shared" si="14"/>
        <v>390.16095516350271</v>
      </c>
      <c r="D233" s="23">
        <f t="shared" si="12"/>
        <v>37.470271466227366</v>
      </c>
      <c r="E233" s="31">
        <f t="shared" si="15"/>
        <v>9806.3601111462231</v>
      </c>
    </row>
    <row r="234" spans="1:5" s="19" customFormat="1" x14ac:dyDescent="0.2">
      <c r="A234" s="22">
        <v>217</v>
      </c>
      <c r="B234" s="23">
        <f t="shared" si="13"/>
        <v>427.63122662973007</v>
      </c>
      <c r="C234" s="23">
        <f t="shared" si="14"/>
        <v>391.59472230922097</v>
      </c>
      <c r="D234" s="23">
        <f t="shared" si="12"/>
        <v>36.03650432050911</v>
      </c>
      <c r="E234" s="31">
        <f t="shared" si="15"/>
        <v>9414.7653888370023</v>
      </c>
    </row>
    <row r="235" spans="1:5" s="19" customFormat="1" x14ac:dyDescent="0.2">
      <c r="A235" s="22">
        <v>218</v>
      </c>
      <c r="B235" s="23">
        <f t="shared" si="13"/>
        <v>427.63122662973007</v>
      </c>
      <c r="C235" s="23">
        <f t="shared" si="14"/>
        <v>393.03375827592436</v>
      </c>
      <c r="D235" s="23">
        <f t="shared" si="12"/>
        <v>34.597468353805723</v>
      </c>
      <c r="E235" s="31">
        <f t="shared" si="15"/>
        <v>9021.7316305610784</v>
      </c>
    </row>
    <row r="236" spans="1:5" s="19" customFormat="1" x14ac:dyDescent="0.2">
      <c r="A236" s="22">
        <v>219</v>
      </c>
      <c r="B236" s="23">
        <f t="shared" si="13"/>
        <v>427.63122662973007</v>
      </c>
      <c r="C236" s="23">
        <f t="shared" si="14"/>
        <v>394.47808242552571</v>
      </c>
      <c r="D236" s="23">
        <f t="shared" si="12"/>
        <v>33.153144204204338</v>
      </c>
      <c r="E236" s="31">
        <f t="shared" si="15"/>
        <v>8627.2535481355535</v>
      </c>
    </row>
    <row r="237" spans="1:5" s="19" customFormat="1" x14ac:dyDescent="0.2">
      <c r="A237" s="22">
        <v>220</v>
      </c>
      <c r="B237" s="23">
        <f t="shared" si="13"/>
        <v>427.63122662973007</v>
      </c>
      <c r="C237" s="23">
        <f t="shared" si="14"/>
        <v>395.92771419108936</v>
      </c>
      <c r="D237" s="23">
        <f t="shared" si="12"/>
        <v>31.703512438640711</v>
      </c>
      <c r="E237" s="31">
        <f t="shared" si="15"/>
        <v>8231.3258339444637</v>
      </c>
    </row>
    <row r="238" spans="1:5" s="19" customFormat="1" x14ac:dyDescent="0.2">
      <c r="A238" s="22">
        <v>221</v>
      </c>
      <c r="B238" s="23">
        <f t="shared" si="13"/>
        <v>427.63122662973007</v>
      </c>
      <c r="C238" s="23">
        <f t="shared" si="14"/>
        <v>397.38267307709225</v>
      </c>
      <c r="D238" s="23">
        <f t="shared" si="12"/>
        <v>30.248553552637819</v>
      </c>
      <c r="E238" s="31">
        <f t="shared" si="15"/>
        <v>7833.9431608673713</v>
      </c>
    </row>
    <row r="239" spans="1:5" s="19" customFormat="1" x14ac:dyDescent="0.2">
      <c r="A239" s="22">
        <v>222</v>
      </c>
      <c r="B239" s="23">
        <f t="shared" si="13"/>
        <v>427.63122662973007</v>
      </c>
      <c r="C239" s="23">
        <f t="shared" si="14"/>
        <v>398.84297865968665</v>
      </c>
      <c r="D239" s="23">
        <f t="shared" si="12"/>
        <v>28.788247970043397</v>
      </c>
      <c r="E239" s="31">
        <f t="shared" si="15"/>
        <v>7435.1001822076851</v>
      </c>
    </row>
    <row r="240" spans="1:5" s="19" customFormat="1" x14ac:dyDescent="0.2">
      <c r="A240" s="22">
        <v>223</v>
      </c>
      <c r="B240" s="23">
        <f t="shared" si="13"/>
        <v>427.63122662973007</v>
      </c>
      <c r="C240" s="23">
        <f t="shared" si="14"/>
        <v>400.30865058696349</v>
      </c>
      <c r="D240" s="23">
        <f t="shared" si="12"/>
        <v>27.322576042766549</v>
      </c>
      <c r="E240" s="31">
        <f t="shared" si="15"/>
        <v>7034.7915316207218</v>
      </c>
    </row>
    <row r="241" spans="1:5" s="19" customFormat="1" x14ac:dyDescent="0.2">
      <c r="A241" s="22">
        <v>224</v>
      </c>
      <c r="B241" s="23">
        <f t="shared" si="13"/>
        <v>427.63122662973007</v>
      </c>
      <c r="C241" s="23">
        <f t="shared" si="14"/>
        <v>401.77970857921667</v>
      </c>
      <c r="D241" s="23">
        <f t="shared" si="12"/>
        <v>25.851518050513384</v>
      </c>
      <c r="E241" s="31">
        <f t="shared" si="15"/>
        <v>6633.0118230415055</v>
      </c>
    </row>
    <row r="242" spans="1:5" s="19" customFormat="1" x14ac:dyDescent="0.2">
      <c r="A242" s="22">
        <v>225</v>
      </c>
      <c r="B242" s="23">
        <f t="shared" si="13"/>
        <v>427.63122662973007</v>
      </c>
      <c r="C242" s="23">
        <f t="shared" si="14"/>
        <v>403.25617242920839</v>
      </c>
      <c r="D242" s="23">
        <f t="shared" si="12"/>
        <v>24.375054200521703</v>
      </c>
      <c r="E242" s="31">
        <f t="shared" si="15"/>
        <v>6229.7556506122974</v>
      </c>
    </row>
    <row r="243" spans="1:5" s="19" customFormat="1" x14ac:dyDescent="0.2">
      <c r="A243" s="22">
        <v>226</v>
      </c>
      <c r="B243" s="23">
        <f t="shared" si="13"/>
        <v>427.63122662973007</v>
      </c>
      <c r="C243" s="23">
        <f t="shared" si="14"/>
        <v>404.73806200243541</v>
      </c>
      <c r="D243" s="23">
        <f t="shared" si="12"/>
        <v>22.893164627294663</v>
      </c>
      <c r="E243" s="31">
        <f t="shared" si="15"/>
        <v>5825.0175886098623</v>
      </c>
    </row>
    <row r="244" spans="1:5" s="19" customFormat="1" x14ac:dyDescent="0.2">
      <c r="A244" s="22">
        <v>227</v>
      </c>
      <c r="B244" s="23">
        <f t="shared" si="13"/>
        <v>427.63122662973007</v>
      </c>
      <c r="C244" s="23">
        <f t="shared" si="14"/>
        <v>406.22539723739652</v>
      </c>
      <c r="D244" s="23">
        <f t="shared" si="12"/>
        <v>21.405829392333523</v>
      </c>
      <c r="E244" s="31">
        <f t="shared" si="15"/>
        <v>5418.7921913724658</v>
      </c>
    </row>
    <row r="245" spans="1:5" s="19" customFormat="1" x14ac:dyDescent="0.2">
      <c r="A245" s="22">
        <v>228</v>
      </c>
      <c r="B245" s="23">
        <f t="shared" si="13"/>
        <v>427.63122662973007</v>
      </c>
      <c r="C245" s="23">
        <f t="shared" si="14"/>
        <v>407.7181981458607</v>
      </c>
      <c r="D245" s="23">
        <f t="shared" si="12"/>
        <v>19.913028483869343</v>
      </c>
      <c r="E245" s="31">
        <f t="shared" si="15"/>
        <v>5011.0739932266051</v>
      </c>
    </row>
    <row r="246" spans="1:5" s="19" customFormat="1" x14ac:dyDescent="0.2">
      <c r="A246" s="22">
        <v>229</v>
      </c>
      <c r="B246" s="23">
        <f t="shared" si="13"/>
        <v>427.63122662973007</v>
      </c>
      <c r="C246" s="23">
        <f t="shared" si="14"/>
        <v>409.21648481313628</v>
      </c>
      <c r="D246" s="23">
        <f t="shared" si="12"/>
        <v>18.414741816593761</v>
      </c>
      <c r="E246" s="31">
        <f t="shared" si="15"/>
        <v>4601.8575084134691</v>
      </c>
    </row>
    <row r="247" spans="1:5" s="19" customFormat="1" x14ac:dyDescent="0.2">
      <c r="A247" s="22">
        <v>230</v>
      </c>
      <c r="B247" s="23">
        <f t="shared" si="13"/>
        <v>427.63122662973007</v>
      </c>
      <c r="C247" s="23">
        <f t="shared" si="14"/>
        <v>410.72027739834135</v>
      </c>
      <c r="D247" s="23">
        <f t="shared" si="12"/>
        <v>16.910949231388724</v>
      </c>
      <c r="E247" s="31">
        <f t="shared" si="15"/>
        <v>4191.1372310151273</v>
      </c>
    </row>
    <row r="248" spans="1:5" s="19" customFormat="1" x14ac:dyDescent="0.2">
      <c r="A248" s="22">
        <v>231</v>
      </c>
      <c r="B248" s="23">
        <f t="shared" si="13"/>
        <v>427.63122662973007</v>
      </c>
      <c r="C248" s="23">
        <f t="shared" si="14"/>
        <v>412.22959613467481</v>
      </c>
      <c r="D248" s="23">
        <f t="shared" si="12"/>
        <v>15.401630495055265</v>
      </c>
      <c r="E248" s="31">
        <f t="shared" si="15"/>
        <v>3778.9076348804524</v>
      </c>
    </row>
    <row r="249" spans="1:5" s="19" customFormat="1" x14ac:dyDescent="0.2">
      <c r="A249" s="22">
        <v>232</v>
      </c>
      <c r="B249" s="23">
        <f t="shared" si="13"/>
        <v>427.63122662973007</v>
      </c>
      <c r="C249" s="23">
        <f t="shared" si="14"/>
        <v>413.74446132968876</v>
      </c>
      <c r="D249" s="23">
        <f t="shared" si="12"/>
        <v>13.886765300041276</v>
      </c>
      <c r="E249" s="31">
        <f t="shared" si="15"/>
        <v>3365.1631735507635</v>
      </c>
    </row>
    <row r="250" spans="1:5" s="19" customFormat="1" x14ac:dyDescent="0.2">
      <c r="A250" s="22">
        <v>233</v>
      </c>
      <c r="B250" s="23">
        <f t="shared" si="13"/>
        <v>427.63122662973007</v>
      </c>
      <c r="C250" s="23">
        <f t="shared" si="14"/>
        <v>415.26489336556182</v>
      </c>
      <c r="D250" s="23">
        <f t="shared" si="12"/>
        <v>12.366333264168254</v>
      </c>
      <c r="E250" s="31">
        <f t="shared" si="15"/>
        <v>2949.8982801852017</v>
      </c>
    </row>
    <row r="251" spans="1:5" s="19" customFormat="1" x14ac:dyDescent="0.2">
      <c r="A251" s="22">
        <v>234</v>
      </c>
      <c r="B251" s="23">
        <f t="shared" si="13"/>
        <v>427.63122662973007</v>
      </c>
      <c r="C251" s="23">
        <f t="shared" si="14"/>
        <v>416.790912699373</v>
      </c>
      <c r="D251" s="23">
        <f t="shared" si="12"/>
        <v>10.84031393035708</v>
      </c>
      <c r="E251" s="31">
        <f t="shared" si="15"/>
        <v>2533.1073674858285</v>
      </c>
    </row>
    <row r="252" spans="1:5" s="19" customFormat="1" x14ac:dyDescent="0.2">
      <c r="A252" s="22">
        <v>235</v>
      </c>
      <c r="B252" s="23">
        <f t="shared" si="13"/>
        <v>427.63122662973007</v>
      </c>
      <c r="C252" s="23">
        <f t="shared" si="14"/>
        <v>418.3225398633773</v>
      </c>
      <c r="D252" s="23">
        <f t="shared" si="12"/>
        <v>9.3086867663527677</v>
      </c>
      <c r="E252" s="31">
        <f t="shared" si="15"/>
        <v>2114.7848276224513</v>
      </c>
    </row>
    <row r="253" spans="1:5" s="19" customFormat="1" x14ac:dyDescent="0.2">
      <c r="A253" s="22">
        <v>236</v>
      </c>
      <c r="B253" s="23">
        <f t="shared" si="13"/>
        <v>427.63122662973007</v>
      </c>
      <c r="C253" s="23">
        <f t="shared" si="14"/>
        <v>419.85979546528188</v>
      </c>
      <c r="D253" s="23">
        <f t="shared" si="12"/>
        <v>7.7714311644482104</v>
      </c>
      <c r="E253" s="31">
        <f t="shared" si="15"/>
        <v>1694.9250321571694</v>
      </c>
    </row>
    <row r="254" spans="1:5" s="19" customFormat="1" x14ac:dyDescent="0.2">
      <c r="A254" s="22">
        <v>237</v>
      </c>
      <c r="B254" s="23">
        <f t="shared" si="13"/>
        <v>427.63122662973007</v>
      </c>
      <c r="C254" s="23">
        <f t="shared" si="14"/>
        <v>421.40270018852317</v>
      </c>
      <c r="D254" s="23">
        <f t="shared" si="12"/>
        <v>6.228526441206899</v>
      </c>
      <c r="E254" s="31">
        <f t="shared" si="15"/>
        <v>1273.5223319686463</v>
      </c>
    </row>
    <row r="255" spans="1:5" s="19" customFormat="1" x14ac:dyDescent="0.2">
      <c r="A255" s="22">
        <v>238</v>
      </c>
      <c r="B255" s="23">
        <f t="shared" si="13"/>
        <v>427.63122662973007</v>
      </c>
      <c r="C255" s="23">
        <f t="shared" si="14"/>
        <v>422.95127479254541</v>
      </c>
      <c r="D255" s="23">
        <f t="shared" si="12"/>
        <v>4.6799518371846425</v>
      </c>
      <c r="E255" s="31">
        <f t="shared" si="15"/>
        <v>850.57105717610091</v>
      </c>
    </row>
    <row r="256" spans="1:5" s="19" customFormat="1" x14ac:dyDescent="0.2">
      <c r="A256" s="22">
        <v>239</v>
      </c>
      <c r="B256" s="23">
        <f t="shared" si="13"/>
        <v>427.63122662973007</v>
      </c>
      <c r="C256" s="23">
        <f t="shared" si="14"/>
        <v>424.5055401130798</v>
      </c>
      <c r="D256" s="23">
        <f t="shared" si="12"/>
        <v>3.1256865166502461</v>
      </c>
      <c r="E256" s="31">
        <f t="shared" si="15"/>
        <v>426.0655170630211</v>
      </c>
    </row>
    <row r="257" spans="1:5" s="19" customFormat="1" x14ac:dyDescent="0.2">
      <c r="A257" s="22">
        <v>240</v>
      </c>
      <c r="B257" s="23">
        <f t="shared" si="13"/>
        <v>427.63122662973007</v>
      </c>
      <c r="C257" s="23">
        <f t="shared" si="14"/>
        <v>426.06551706242487</v>
      </c>
      <c r="D257" s="23">
        <f t="shared" si="12"/>
        <v>1.5657095673051777</v>
      </c>
      <c r="E257" s="31">
        <f t="shared" si="15"/>
        <v>5.9623062043101527E-10</v>
      </c>
    </row>
    <row r="258" spans="1:5" s="19" customFormat="1" x14ac:dyDescent="0.2">
      <c r="A258" s="22">
        <v>241</v>
      </c>
      <c r="B258" s="23">
        <f t="shared" si="13"/>
        <v>427.63122662973007</v>
      </c>
      <c r="C258" s="23">
        <f t="shared" si="14"/>
        <v>427.63122662972785</v>
      </c>
      <c r="D258" s="23">
        <f t="shared" si="12"/>
        <v>2.1910338887881913E-12</v>
      </c>
      <c r="E258" s="31">
        <f t="shared" si="15"/>
        <v>-427.63122662913162</v>
      </c>
    </row>
    <row r="259" spans="1:5" s="19" customFormat="1" x14ac:dyDescent="0.2">
      <c r="A259" s="22">
        <v>242</v>
      </c>
      <c r="B259" s="23">
        <f t="shared" si="13"/>
        <v>427.63122662973007</v>
      </c>
      <c r="C259" s="23">
        <f t="shared" si="14"/>
        <v>429.20268988126713</v>
      </c>
      <c r="D259" s="23">
        <f t="shared" si="12"/>
        <v>-1.5714632515370746</v>
      </c>
      <c r="E259" s="31">
        <f t="shared" si="15"/>
        <v>-856.83391651039869</v>
      </c>
    </row>
    <row r="260" spans="1:5" s="19" customFormat="1" x14ac:dyDescent="0.2">
      <c r="A260" s="22">
        <v>243</v>
      </c>
      <c r="B260" s="23">
        <f t="shared" si="13"/>
        <v>427.63122662973007</v>
      </c>
      <c r="C260" s="23">
        <f t="shared" si="14"/>
        <v>430.77992796073562</v>
      </c>
      <c r="D260" s="23">
        <f t="shared" si="12"/>
        <v>-3.1487013310055376</v>
      </c>
      <c r="E260" s="31">
        <f t="shared" si="15"/>
        <v>-1287.6138444711344</v>
      </c>
    </row>
    <row r="261" spans="1:5" s="19" customFormat="1" x14ac:dyDescent="0.2">
      <c r="A261" s="22">
        <v>244</v>
      </c>
      <c r="B261" s="23">
        <f t="shared" si="13"/>
        <v>427.63122662973007</v>
      </c>
      <c r="C261" s="23">
        <f t="shared" si="14"/>
        <v>432.36296208952524</v>
      </c>
      <c r="D261" s="23">
        <f t="shared" si="12"/>
        <v>-4.7317354597951589</v>
      </c>
      <c r="E261" s="31">
        <f t="shared" si="15"/>
        <v>-1719.9768065606595</v>
      </c>
    </row>
    <row r="262" spans="1:5" s="19" customFormat="1" x14ac:dyDescent="0.2">
      <c r="A262" s="22">
        <v>245</v>
      </c>
      <c r="B262" s="23">
        <f t="shared" si="13"/>
        <v>427.63122662973007</v>
      </c>
      <c r="C262" s="23">
        <f t="shared" si="14"/>
        <v>433.95181356701255</v>
      </c>
      <c r="D262" s="23">
        <f t="shared" si="12"/>
        <v>-6.3205869372824672</v>
      </c>
      <c r="E262" s="31">
        <f t="shared" si="15"/>
        <v>-2153.9286201276718</v>
      </c>
    </row>
    <row r="263" spans="1:5" s="19" customFormat="1" x14ac:dyDescent="0.2">
      <c r="A263" s="22">
        <v>246</v>
      </c>
      <c r="B263" s="23">
        <f t="shared" si="13"/>
        <v>427.63122662973007</v>
      </c>
      <c r="C263" s="23">
        <f t="shared" si="14"/>
        <v>435.54650377084522</v>
      </c>
      <c r="D263" s="23">
        <f t="shared" si="12"/>
        <v>-7.9152771411151441</v>
      </c>
      <c r="E263" s="31">
        <f t="shared" si="15"/>
        <v>-2589.4751238985173</v>
      </c>
    </row>
    <row r="264" spans="1:5" s="19" customFormat="1" x14ac:dyDescent="0.2">
      <c r="A264" s="22">
        <v>247</v>
      </c>
      <c r="B264" s="23">
        <f t="shared" si="13"/>
        <v>427.63122662973007</v>
      </c>
      <c r="C264" s="23">
        <f t="shared" si="14"/>
        <v>437.14705415722972</v>
      </c>
      <c r="D264" s="23">
        <f t="shared" si="12"/>
        <v>-9.5158275274996527</v>
      </c>
      <c r="E264" s="31">
        <f t="shared" si="15"/>
        <v>-3026.6221780557471</v>
      </c>
    </row>
    <row r="265" spans="1:5" s="19" customFormat="1" x14ac:dyDescent="0.2">
      <c r="A265" s="22">
        <v>248</v>
      </c>
      <c r="B265" s="23">
        <f t="shared" si="13"/>
        <v>427.63122662973007</v>
      </c>
      <c r="C265" s="23">
        <f t="shared" si="14"/>
        <v>438.75348626121996</v>
      </c>
      <c r="D265" s="23">
        <f t="shared" si="12"/>
        <v>-11.122259631489918</v>
      </c>
      <c r="E265" s="31">
        <f t="shared" si="15"/>
        <v>-3465.3756643169672</v>
      </c>
    </row>
    <row r="266" spans="1:5" s="19" customFormat="1" x14ac:dyDescent="0.2">
      <c r="A266" s="22">
        <v>249</v>
      </c>
      <c r="B266" s="23">
        <f t="shared" si="13"/>
        <v>427.63122662973007</v>
      </c>
      <c r="C266" s="23">
        <f t="shared" si="14"/>
        <v>440.36582169700716</v>
      </c>
      <c r="D266" s="23">
        <f t="shared" si="12"/>
        <v>-12.734595067277089</v>
      </c>
      <c r="E266" s="31">
        <f t="shared" si="15"/>
        <v>-3905.7414860139743</v>
      </c>
    </row>
    <row r="267" spans="1:5" s="19" customFormat="1" x14ac:dyDescent="0.2">
      <c r="A267" s="22">
        <v>250</v>
      </c>
      <c r="B267" s="23">
        <f t="shared" si="13"/>
        <v>427.63122662973007</v>
      </c>
      <c r="C267" s="23">
        <f t="shared" si="14"/>
        <v>441.98408215821041</v>
      </c>
      <c r="D267" s="23">
        <f t="shared" si="12"/>
        <v>-14.352855528480349</v>
      </c>
      <c r="E267" s="31">
        <f t="shared" si="15"/>
        <v>-4347.7255681721845</v>
      </c>
    </row>
    <row r="268" spans="1:5" s="19" customFormat="1" x14ac:dyDescent="0.2">
      <c r="A268" s="22">
        <v>251</v>
      </c>
      <c r="B268" s="23">
        <f t="shared" si="13"/>
        <v>427.63122662973007</v>
      </c>
      <c r="C268" s="23">
        <f t="shared" si="14"/>
        <v>443.60828941816885</v>
      </c>
      <c r="D268" s="23">
        <f t="shared" si="12"/>
        <v>-15.977062788438795</v>
      </c>
      <c r="E268" s="31">
        <f t="shared" si="15"/>
        <v>-4791.3338575903535</v>
      </c>
    </row>
    <row r="269" spans="1:5" s="19" customFormat="1" x14ac:dyDescent="0.2">
      <c r="A269" s="22">
        <v>252</v>
      </c>
      <c r="B269" s="23">
        <f t="shared" si="13"/>
        <v>427.63122662973007</v>
      </c>
      <c r="C269" s="23">
        <f t="shared" si="14"/>
        <v>445.23846533023448</v>
      </c>
      <c r="D269" s="23">
        <f t="shared" si="12"/>
        <v>-17.607238700504393</v>
      </c>
      <c r="E269" s="31">
        <f t="shared" si="15"/>
        <v>-5236.5723229205878</v>
      </c>
    </row>
    <row r="270" spans="1:5" s="19" customFormat="1" x14ac:dyDescent="0.2">
      <c r="A270" s="22">
        <v>253</v>
      </c>
      <c r="B270" s="23">
        <f t="shared" si="13"/>
        <v>427.63122662973007</v>
      </c>
      <c r="C270" s="23">
        <f t="shared" si="14"/>
        <v>446.87463182806607</v>
      </c>
      <c r="D270" s="23">
        <f t="shared" si="12"/>
        <v>-19.243405198336017</v>
      </c>
      <c r="E270" s="31">
        <f t="shared" si="15"/>
        <v>-5683.4469547486542</v>
      </c>
    </row>
    <row r="271" spans="1:5" s="19" customFormat="1" x14ac:dyDescent="0.2">
      <c r="A271" s="22">
        <v>254</v>
      </c>
      <c r="B271" s="23">
        <f t="shared" si="13"/>
        <v>427.63122662973007</v>
      </c>
      <c r="C271" s="23">
        <f t="shared" si="14"/>
        <v>448.51681092592463</v>
      </c>
      <c r="D271" s="23">
        <f t="shared" si="12"/>
        <v>-20.885584296194551</v>
      </c>
      <c r="E271" s="31">
        <f t="shared" si="15"/>
        <v>-6131.963765674579</v>
      </c>
    </row>
    <row r="272" spans="1:5" s="19" customFormat="1" x14ac:dyDescent="0.2">
      <c r="A272" s="22">
        <v>255</v>
      </c>
      <c r="B272" s="23">
        <f t="shared" si="13"/>
        <v>427.63122662973007</v>
      </c>
      <c r="C272" s="23">
        <f t="shared" si="14"/>
        <v>450.16502471896916</v>
      </c>
      <c r="D272" s="23">
        <f t="shared" si="12"/>
        <v>-22.533798089239099</v>
      </c>
      <c r="E272" s="31">
        <f t="shared" si="15"/>
        <v>-6582.1287903935481</v>
      </c>
    </row>
    <row r="273" spans="1:5" s="19" customFormat="1" x14ac:dyDescent="0.2">
      <c r="A273" s="22">
        <v>256</v>
      </c>
      <c r="B273" s="23">
        <f t="shared" si="13"/>
        <v>427.63122662973007</v>
      </c>
      <c r="C273" s="23">
        <f t="shared" si="14"/>
        <v>451.81929538355433</v>
      </c>
      <c r="D273" s="23">
        <f t="shared" si="12"/>
        <v>-24.188068753824254</v>
      </c>
      <c r="E273" s="31">
        <f t="shared" si="15"/>
        <v>-7033.9480857771023</v>
      </c>
    </row>
    <row r="274" spans="1:5" s="19" customFormat="1" x14ac:dyDescent="0.2">
      <c r="A274" s="22">
        <v>257</v>
      </c>
      <c r="B274" s="23">
        <f t="shared" si="13"/>
        <v>427.63122662973007</v>
      </c>
      <c r="C274" s="23">
        <f t="shared" si="14"/>
        <v>453.47964517752854</v>
      </c>
      <c r="D274" s="23">
        <f t="shared" ref="D274:D317" si="16">E273*B$7</f>
        <v>-25.848418547798492</v>
      </c>
      <c r="E274" s="31">
        <f t="shared" si="15"/>
        <v>-7487.4277309546305</v>
      </c>
    </row>
    <row r="275" spans="1:5" s="19" customFormat="1" x14ac:dyDescent="0.2">
      <c r="A275" s="22">
        <v>258</v>
      </c>
      <c r="B275" s="23">
        <f t="shared" ref="B275:B317" si="17">B$9</f>
        <v>427.63122662973007</v>
      </c>
      <c r="C275" s="23">
        <f t="shared" ref="C275:C317" si="18">B275-D275</f>
        <v>455.14609644053371</v>
      </c>
      <c r="D275" s="23">
        <f t="shared" si="16"/>
        <v>-27.514869810803642</v>
      </c>
      <c r="E275" s="31">
        <f t="shared" ref="E275:E317" si="19">E274-C275</f>
        <v>-7942.5738273951647</v>
      </c>
    </row>
    <row r="276" spans="1:5" s="19" customFormat="1" x14ac:dyDescent="0.2">
      <c r="A276" s="22">
        <v>259</v>
      </c>
      <c r="B276" s="23">
        <f t="shared" si="17"/>
        <v>427.63122662973007</v>
      </c>
      <c r="C276" s="23">
        <f t="shared" si="18"/>
        <v>456.8186715943055</v>
      </c>
      <c r="D276" s="23">
        <f t="shared" si="16"/>
        <v>-29.187444964575455</v>
      </c>
      <c r="E276" s="31">
        <f t="shared" si="19"/>
        <v>-8399.3924989894695</v>
      </c>
    </row>
    <row r="277" spans="1:5" s="19" customFormat="1" x14ac:dyDescent="0.2">
      <c r="A277" s="22">
        <v>260</v>
      </c>
      <c r="B277" s="23">
        <f t="shared" si="17"/>
        <v>427.63122662973007</v>
      </c>
      <c r="C277" s="23">
        <f t="shared" si="18"/>
        <v>458.49739314297534</v>
      </c>
      <c r="D277" s="23">
        <f t="shared" si="16"/>
        <v>-30.866166513245279</v>
      </c>
      <c r="E277" s="31">
        <f t="shared" si="19"/>
        <v>-8857.8898921324453</v>
      </c>
    </row>
    <row r="278" spans="1:5" s="19" customFormat="1" x14ac:dyDescent="0.2">
      <c r="A278" s="22">
        <v>261</v>
      </c>
      <c r="B278" s="23">
        <f t="shared" si="17"/>
        <v>427.63122662973007</v>
      </c>
      <c r="C278" s="23">
        <f t="shared" si="18"/>
        <v>460.18228367337292</v>
      </c>
      <c r="D278" s="23">
        <f t="shared" si="16"/>
        <v>-32.551057043642878</v>
      </c>
      <c r="E278" s="31">
        <f t="shared" si="19"/>
        <v>-9318.0721758058189</v>
      </c>
    </row>
    <row r="279" spans="1:5" s="19" customFormat="1" x14ac:dyDescent="0.2">
      <c r="A279" s="22">
        <v>262</v>
      </c>
      <c r="B279" s="23">
        <f t="shared" si="17"/>
        <v>427.63122662973007</v>
      </c>
      <c r="C279" s="23">
        <f t="shared" si="18"/>
        <v>461.87336585533035</v>
      </c>
      <c r="D279" s="23">
        <f t="shared" si="16"/>
        <v>-34.24213922560029</v>
      </c>
      <c r="E279" s="31">
        <f t="shared" si="19"/>
        <v>-9779.945541661149</v>
      </c>
    </row>
    <row r="280" spans="1:5" s="19" customFormat="1" x14ac:dyDescent="0.2">
      <c r="A280" s="22">
        <v>263</v>
      </c>
      <c r="B280" s="23">
        <f t="shared" si="17"/>
        <v>427.63122662973007</v>
      </c>
      <c r="C280" s="23">
        <f t="shared" si="18"/>
        <v>463.57066244198694</v>
      </c>
      <c r="D280" s="23">
        <f t="shared" si="16"/>
        <v>-35.939435812256868</v>
      </c>
      <c r="E280" s="31">
        <f t="shared" si="19"/>
        <v>-10243.516204103136</v>
      </c>
    </row>
    <row r="281" spans="1:5" s="19" customFormat="1" x14ac:dyDescent="0.2">
      <c r="A281" s="22">
        <v>264</v>
      </c>
      <c r="B281" s="23">
        <f t="shared" si="17"/>
        <v>427.63122662973007</v>
      </c>
      <c r="C281" s="23">
        <f t="shared" si="18"/>
        <v>465.2741962700955</v>
      </c>
      <c r="D281" s="23">
        <f t="shared" si="16"/>
        <v>-37.642969640365422</v>
      </c>
      <c r="E281" s="31">
        <f t="shared" si="19"/>
        <v>-10708.790400373231</v>
      </c>
    </row>
    <row r="282" spans="1:5" s="19" customFormat="1" x14ac:dyDescent="0.2">
      <c r="A282" s="22">
        <v>265</v>
      </c>
      <c r="B282" s="23">
        <f t="shared" si="17"/>
        <v>427.63122662973007</v>
      </c>
      <c r="C282" s="23">
        <f t="shared" si="18"/>
        <v>466.98399026032951</v>
      </c>
      <c r="D282" s="23">
        <f t="shared" si="16"/>
        <v>-39.352763630599462</v>
      </c>
      <c r="E282" s="31">
        <f t="shared" si="19"/>
        <v>-11175.77439063356</v>
      </c>
    </row>
    <row r="283" spans="1:5" s="19" customFormat="1" x14ac:dyDescent="0.2">
      <c r="A283" s="22">
        <v>266</v>
      </c>
      <c r="B283" s="23">
        <f t="shared" si="17"/>
        <v>427.63122662973007</v>
      </c>
      <c r="C283" s="23">
        <f t="shared" si="18"/>
        <v>468.7000674175917</v>
      </c>
      <c r="D283" s="23">
        <f t="shared" si="16"/>
        <v>-41.068840787861632</v>
      </c>
      <c r="E283" s="31">
        <f t="shared" si="19"/>
        <v>-11644.474458051152</v>
      </c>
    </row>
    <row r="284" spans="1:5" s="19" customFormat="1" x14ac:dyDescent="0.2">
      <c r="A284" s="22">
        <v>267</v>
      </c>
      <c r="B284" s="23">
        <f t="shared" si="17"/>
        <v>427.63122662973007</v>
      </c>
      <c r="C284" s="23">
        <f t="shared" si="18"/>
        <v>470.42245083132326</v>
      </c>
      <c r="D284" s="23">
        <f t="shared" si="16"/>
        <v>-42.791224201593188</v>
      </c>
      <c r="E284" s="31">
        <f t="shared" si="19"/>
        <v>-12114.896908882476</v>
      </c>
    </row>
    <row r="285" spans="1:5" s="19" customFormat="1" x14ac:dyDescent="0.2">
      <c r="A285" s="22">
        <v>268</v>
      </c>
      <c r="B285" s="23">
        <f t="shared" si="17"/>
        <v>427.63122662973007</v>
      </c>
      <c r="C285" s="23">
        <f t="shared" si="18"/>
        <v>472.15116367581476</v>
      </c>
      <c r="D285" s="23">
        <f t="shared" si="16"/>
        <v>-44.519937046084678</v>
      </c>
      <c r="E285" s="31">
        <f t="shared" si="19"/>
        <v>-12587.048072558291</v>
      </c>
    </row>
    <row r="286" spans="1:5" s="19" customFormat="1" x14ac:dyDescent="0.2">
      <c r="A286" s="22">
        <v>269</v>
      </c>
      <c r="B286" s="23">
        <f t="shared" si="17"/>
        <v>427.63122662973007</v>
      </c>
      <c r="C286" s="23">
        <f t="shared" si="18"/>
        <v>473.88622921051785</v>
      </c>
      <c r="D286" s="23">
        <f t="shared" si="16"/>
        <v>-46.25500258078776</v>
      </c>
      <c r="E286" s="31">
        <f t="shared" si="19"/>
        <v>-13060.93430176881</v>
      </c>
    </row>
    <row r="287" spans="1:5" s="19" customFormat="1" x14ac:dyDescent="0.2">
      <c r="A287" s="22">
        <v>270</v>
      </c>
      <c r="B287" s="23">
        <f t="shared" si="17"/>
        <v>427.63122662973007</v>
      </c>
      <c r="C287" s="23">
        <f t="shared" si="18"/>
        <v>475.62767078035824</v>
      </c>
      <c r="D287" s="23">
        <f t="shared" si="16"/>
        <v>-47.99644415062815</v>
      </c>
      <c r="E287" s="31">
        <f t="shared" si="19"/>
        <v>-13536.561972549169</v>
      </c>
    </row>
    <row r="288" spans="1:5" s="19" customFormat="1" x14ac:dyDescent="0.2">
      <c r="A288" s="22">
        <v>271</v>
      </c>
      <c r="B288" s="23">
        <f t="shared" si="17"/>
        <v>427.63122662973007</v>
      </c>
      <c r="C288" s="23">
        <f t="shared" si="18"/>
        <v>477.37551181604977</v>
      </c>
      <c r="D288" s="23">
        <f t="shared" si="16"/>
        <v>-49.744285186319694</v>
      </c>
      <c r="E288" s="31">
        <f t="shared" si="19"/>
        <v>-14013.937484365219</v>
      </c>
    </row>
    <row r="289" spans="1:5" s="19" customFormat="1" x14ac:dyDescent="0.2">
      <c r="A289" s="22">
        <v>272</v>
      </c>
      <c r="B289" s="23">
        <f t="shared" si="17"/>
        <v>427.63122662973007</v>
      </c>
      <c r="C289" s="23">
        <f t="shared" si="18"/>
        <v>479.12977583440971</v>
      </c>
      <c r="D289" s="23">
        <f t="shared" si="16"/>
        <v>-51.498549204679669</v>
      </c>
      <c r="E289" s="31">
        <f t="shared" si="19"/>
        <v>-14493.067260199628</v>
      </c>
    </row>
    <row r="290" spans="1:5" s="19" customFormat="1" x14ac:dyDescent="0.2">
      <c r="A290" s="22">
        <v>273</v>
      </c>
      <c r="B290" s="23">
        <f t="shared" si="17"/>
        <v>427.63122662973007</v>
      </c>
      <c r="C290" s="23">
        <f t="shared" si="18"/>
        <v>480.89048643867523</v>
      </c>
      <c r="D290" s="23">
        <f t="shared" si="16"/>
        <v>-53.25925980894516</v>
      </c>
      <c r="E290" s="31">
        <f t="shared" si="19"/>
        <v>-14973.957746638303</v>
      </c>
    </row>
    <row r="291" spans="1:5" s="19" customFormat="1" x14ac:dyDescent="0.2">
      <c r="A291" s="22">
        <v>274</v>
      </c>
      <c r="B291" s="23">
        <f t="shared" si="17"/>
        <v>427.63122662973007</v>
      </c>
      <c r="C291" s="23">
        <f t="shared" si="18"/>
        <v>482.6576673188207</v>
      </c>
      <c r="D291" s="23">
        <f t="shared" si="16"/>
        <v>-55.026440689090649</v>
      </c>
      <c r="E291" s="31">
        <f t="shared" si="19"/>
        <v>-15456.615413957124</v>
      </c>
    </row>
    <row r="292" spans="1:5" s="19" customFormat="1" x14ac:dyDescent="0.2">
      <c r="A292" s="22">
        <v>275</v>
      </c>
      <c r="B292" s="23">
        <f t="shared" si="17"/>
        <v>427.63122662973007</v>
      </c>
      <c r="C292" s="23">
        <f t="shared" si="18"/>
        <v>484.43134225187686</v>
      </c>
      <c r="D292" s="23">
        <f t="shared" si="16"/>
        <v>-56.800115622146777</v>
      </c>
      <c r="E292" s="31">
        <f t="shared" si="19"/>
        <v>-15941.046756209002</v>
      </c>
    </row>
    <row r="293" spans="1:5" s="19" customFormat="1" x14ac:dyDescent="0.2">
      <c r="A293" s="22">
        <v>276</v>
      </c>
      <c r="B293" s="23">
        <f t="shared" si="17"/>
        <v>427.63122662973007</v>
      </c>
      <c r="C293" s="23">
        <f t="shared" si="18"/>
        <v>486.21153510225031</v>
      </c>
      <c r="D293" s="23">
        <f t="shared" si="16"/>
        <v>-58.580308472520215</v>
      </c>
      <c r="E293" s="31">
        <f t="shared" si="19"/>
        <v>-16427.258291311253</v>
      </c>
    </row>
    <row r="294" spans="1:5" s="19" customFormat="1" x14ac:dyDescent="0.2">
      <c r="A294" s="22">
        <v>277</v>
      </c>
      <c r="B294" s="23">
        <f t="shared" si="17"/>
        <v>427.63122662973007</v>
      </c>
      <c r="C294" s="23">
        <f t="shared" si="18"/>
        <v>487.99826982204485</v>
      </c>
      <c r="D294" s="23">
        <f t="shared" si="16"/>
        <v>-60.367043192314803</v>
      </c>
      <c r="E294" s="31">
        <f t="shared" si="19"/>
        <v>-16915.256561133298</v>
      </c>
    </row>
    <row r="295" spans="1:5" s="19" customFormat="1" x14ac:dyDescent="0.2">
      <c r="A295" s="22">
        <v>278</v>
      </c>
      <c r="B295" s="23">
        <f t="shared" si="17"/>
        <v>427.63122662973007</v>
      </c>
      <c r="C295" s="23">
        <f t="shared" si="18"/>
        <v>489.79157045138385</v>
      </c>
      <c r="D295" s="23">
        <f t="shared" si="16"/>
        <v>-62.160343821653768</v>
      </c>
      <c r="E295" s="31">
        <f t="shared" si="19"/>
        <v>-17405.048131584681</v>
      </c>
    </row>
    <row r="296" spans="1:5" s="19" customFormat="1" x14ac:dyDescent="0.2">
      <c r="A296" s="22">
        <v>279</v>
      </c>
      <c r="B296" s="23">
        <f t="shared" si="17"/>
        <v>427.63122662973007</v>
      </c>
      <c r="C296" s="23">
        <f t="shared" si="18"/>
        <v>491.59146111873332</v>
      </c>
      <c r="D296" s="23">
        <f t="shared" si="16"/>
        <v>-63.960234489003241</v>
      </c>
      <c r="E296" s="31">
        <f t="shared" si="19"/>
        <v>-17896.639592703414</v>
      </c>
    </row>
    <row r="297" spans="1:5" s="19" customFormat="1" x14ac:dyDescent="0.2">
      <c r="A297" s="22">
        <v>280</v>
      </c>
      <c r="B297" s="23">
        <f t="shared" si="17"/>
        <v>427.63122662973007</v>
      </c>
      <c r="C297" s="23">
        <f t="shared" si="18"/>
        <v>493.39796604122694</v>
      </c>
      <c r="D297" s="23">
        <f t="shared" si="16"/>
        <v>-65.766739411496843</v>
      </c>
      <c r="E297" s="31">
        <f t="shared" si="19"/>
        <v>-18390.03755874464</v>
      </c>
    </row>
    <row r="298" spans="1:5" s="19" customFormat="1" x14ac:dyDescent="0.2">
      <c r="A298" s="22">
        <v>281</v>
      </c>
      <c r="B298" s="23">
        <f t="shared" si="17"/>
        <v>427.63122662973007</v>
      </c>
      <c r="C298" s="23">
        <f t="shared" si="18"/>
        <v>495.21110952499163</v>
      </c>
      <c r="D298" s="23">
        <f t="shared" si="16"/>
        <v>-67.579882895261562</v>
      </c>
      <c r="E298" s="31">
        <f t="shared" si="19"/>
        <v>-18885.248668269633</v>
      </c>
    </row>
    <row r="299" spans="1:5" s="19" customFormat="1" x14ac:dyDescent="0.2">
      <c r="A299" s="22">
        <v>282</v>
      </c>
      <c r="B299" s="23">
        <f t="shared" si="17"/>
        <v>427.63122662973007</v>
      </c>
      <c r="C299" s="23">
        <f t="shared" si="18"/>
        <v>497.03091596547483</v>
      </c>
      <c r="D299" s="23">
        <f t="shared" si="16"/>
        <v>-69.399689335744782</v>
      </c>
      <c r="E299" s="31">
        <f t="shared" si="19"/>
        <v>-19382.279584235108</v>
      </c>
    </row>
    <row r="300" spans="1:5" s="19" customFormat="1" x14ac:dyDescent="0.2">
      <c r="A300" s="22">
        <v>283</v>
      </c>
      <c r="B300" s="23">
        <f t="shared" si="17"/>
        <v>427.63122662973007</v>
      </c>
      <c r="C300" s="23">
        <f t="shared" si="18"/>
        <v>498.85740984777249</v>
      </c>
      <c r="D300" s="23">
        <f t="shared" si="16"/>
        <v>-71.226183218042436</v>
      </c>
      <c r="E300" s="31">
        <f t="shared" si="19"/>
        <v>-19881.136994082881</v>
      </c>
    </row>
    <row r="301" spans="1:5" s="19" customFormat="1" x14ac:dyDescent="0.2">
      <c r="A301" s="22">
        <v>284</v>
      </c>
      <c r="B301" s="23">
        <f t="shared" si="17"/>
        <v>427.63122662973007</v>
      </c>
      <c r="C301" s="23">
        <f t="shared" si="18"/>
        <v>500.69061574695866</v>
      </c>
      <c r="D301" s="23">
        <f t="shared" si="16"/>
        <v>-73.059389117228619</v>
      </c>
      <c r="E301" s="31">
        <f t="shared" si="19"/>
        <v>-20381.827609829841</v>
      </c>
    </row>
    <row r="302" spans="1:5" s="19" customFormat="1" x14ac:dyDescent="0.2">
      <c r="A302" s="22">
        <v>285</v>
      </c>
      <c r="B302" s="23">
        <f t="shared" si="17"/>
        <v>427.63122662973007</v>
      </c>
      <c r="C302" s="23">
        <f t="shared" si="18"/>
        <v>502.53055832841613</v>
      </c>
      <c r="D302" s="23">
        <f t="shared" si="16"/>
        <v>-74.899331698686069</v>
      </c>
      <c r="E302" s="31">
        <f t="shared" si="19"/>
        <v>-20884.358168158258</v>
      </c>
    </row>
    <row r="303" spans="1:5" s="19" customFormat="1" x14ac:dyDescent="0.2">
      <c r="A303" s="22">
        <v>286</v>
      </c>
      <c r="B303" s="23">
        <f t="shared" si="17"/>
        <v>427.63122662973007</v>
      </c>
      <c r="C303" s="23">
        <f t="shared" si="18"/>
        <v>504.37726234816819</v>
      </c>
      <c r="D303" s="23">
        <f t="shared" si="16"/>
        <v>-76.746035718438108</v>
      </c>
      <c r="E303" s="31">
        <f t="shared" si="19"/>
        <v>-21388.735430506425</v>
      </c>
    </row>
    <row r="304" spans="1:5" s="19" customFormat="1" x14ac:dyDescent="0.2">
      <c r="A304" s="22">
        <v>287</v>
      </c>
      <c r="B304" s="23">
        <f t="shared" si="17"/>
        <v>427.63122662973007</v>
      </c>
      <c r="C304" s="23">
        <f t="shared" si="18"/>
        <v>506.23075265321182</v>
      </c>
      <c r="D304" s="23">
        <f t="shared" si="16"/>
        <v>-78.599526023481758</v>
      </c>
      <c r="E304" s="31">
        <f t="shared" si="19"/>
        <v>-21894.966183159639</v>
      </c>
    </row>
    <row r="305" spans="1:5" s="19" customFormat="1" x14ac:dyDescent="0.2">
      <c r="A305" s="22">
        <v>288</v>
      </c>
      <c r="B305" s="23">
        <f t="shared" si="17"/>
        <v>427.63122662973007</v>
      </c>
      <c r="C305" s="23">
        <f t="shared" si="18"/>
        <v>508.09105418185209</v>
      </c>
      <c r="D305" s="23">
        <f t="shared" si="16"/>
        <v>-80.459827552122007</v>
      </c>
      <c r="E305" s="31">
        <f t="shared" si="19"/>
        <v>-22403.057237341491</v>
      </c>
    </row>
    <row r="306" spans="1:5" s="19" customFormat="1" x14ac:dyDescent="0.2">
      <c r="A306" s="22">
        <v>289</v>
      </c>
      <c r="B306" s="23">
        <f t="shared" si="17"/>
        <v>427.63122662973007</v>
      </c>
      <c r="C306" s="23">
        <f t="shared" si="18"/>
        <v>509.95819196403738</v>
      </c>
      <c r="D306" s="23">
        <f t="shared" si="16"/>
        <v>-82.326965334307346</v>
      </c>
      <c r="E306" s="31">
        <f t="shared" si="19"/>
        <v>-22913.015429305528</v>
      </c>
    </row>
    <row r="307" spans="1:5" s="19" customFormat="1" x14ac:dyDescent="0.2">
      <c r="A307" s="22">
        <v>290</v>
      </c>
      <c r="B307" s="23">
        <f t="shared" si="17"/>
        <v>427.63122662973007</v>
      </c>
      <c r="C307" s="23">
        <f t="shared" si="18"/>
        <v>511.83219112169661</v>
      </c>
      <c r="D307" s="23">
        <f t="shared" si="16"/>
        <v>-84.200964491966573</v>
      </c>
      <c r="E307" s="31">
        <f t="shared" si="19"/>
        <v>-23424.847620427223</v>
      </c>
    </row>
    <row r="308" spans="1:5" s="19" customFormat="1" x14ac:dyDescent="0.2">
      <c r="A308" s="22">
        <v>291</v>
      </c>
      <c r="B308" s="23">
        <f t="shared" si="17"/>
        <v>427.63122662973007</v>
      </c>
      <c r="C308" s="23">
        <f t="shared" si="18"/>
        <v>513.71307686907687</v>
      </c>
      <c r="D308" s="23">
        <f t="shared" si="16"/>
        <v>-86.081850239346764</v>
      </c>
      <c r="E308" s="31">
        <f t="shared" si="19"/>
        <v>-23938.5606972963</v>
      </c>
    </row>
    <row r="309" spans="1:5" s="19" customFormat="1" x14ac:dyDescent="0.2">
      <c r="A309" s="22">
        <v>292</v>
      </c>
      <c r="B309" s="23">
        <f t="shared" si="17"/>
        <v>427.63122662973007</v>
      </c>
      <c r="C309" s="23">
        <f t="shared" si="18"/>
        <v>515.60087451308266</v>
      </c>
      <c r="D309" s="23">
        <f t="shared" si="16"/>
        <v>-87.969647883352593</v>
      </c>
      <c r="E309" s="31">
        <f t="shared" si="19"/>
        <v>-24454.161571809382</v>
      </c>
    </row>
    <row r="310" spans="1:5" s="19" customFormat="1" x14ac:dyDescent="0.2">
      <c r="A310" s="22">
        <v>293</v>
      </c>
      <c r="B310" s="23">
        <f t="shared" si="17"/>
        <v>427.63122662973007</v>
      </c>
      <c r="C310" s="23">
        <f t="shared" si="18"/>
        <v>517.49560945361679</v>
      </c>
      <c r="D310" s="23">
        <f t="shared" si="16"/>
        <v>-89.864382823886729</v>
      </c>
      <c r="E310" s="31">
        <f t="shared" si="19"/>
        <v>-24971.657181262999</v>
      </c>
    </row>
    <row r="311" spans="1:5" s="19" customFormat="1" x14ac:dyDescent="0.2">
      <c r="A311" s="22">
        <v>294</v>
      </c>
      <c r="B311" s="23">
        <f t="shared" si="17"/>
        <v>427.63122662973007</v>
      </c>
      <c r="C311" s="23">
        <f t="shared" si="18"/>
        <v>519.39730718392173</v>
      </c>
      <c r="D311" s="23">
        <f t="shared" si="16"/>
        <v>-91.766080554191674</v>
      </c>
      <c r="E311" s="31">
        <f t="shared" si="19"/>
        <v>-25491.05448844692</v>
      </c>
    </row>
    <row r="312" spans="1:5" s="19" customFormat="1" x14ac:dyDescent="0.2">
      <c r="A312" s="22">
        <v>295</v>
      </c>
      <c r="B312" s="23">
        <f t="shared" si="17"/>
        <v>427.63122662973007</v>
      </c>
      <c r="C312" s="23">
        <f t="shared" si="18"/>
        <v>521.30599329092274</v>
      </c>
      <c r="D312" s="23">
        <f t="shared" si="16"/>
        <v>-93.674766661192734</v>
      </c>
      <c r="E312" s="31">
        <f t="shared" si="19"/>
        <v>-26012.360481737844</v>
      </c>
    </row>
    <row r="313" spans="1:5" s="19" customFormat="1" x14ac:dyDescent="0.2">
      <c r="A313" s="22">
        <v>296</v>
      </c>
      <c r="B313" s="23">
        <f t="shared" si="17"/>
        <v>427.63122662973007</v>
      </c>
      <c r="C313" s="23">
        <f t="shared" si="18"/>
        <v>523.22169345557234</v>
      </c>
      <c r="D313" s="23">
        <f t="shared" si="16"/>
        <v>-95.590466825842299</v>
      </c>
      <c r="E313" s="31">
        <f t="shared" si="19"/>
        <v>-26535.582175193416</v>
      </c>
    </row>
    <row r="314" spans="1:5" s="19" customFormat="1" x14ac:dyDescent="0.2">
      <c r="A314" s="22">
        <v>297</v>
      </c>
      <c r="B314" s="23">
        <f t="shared" si="17"/>
        <v>427.63122662973007</v>
      </c>
      <c r="C314" s="23">
        <f t="shared" si="18"/>
        <v>525.14443345319535</v>
      </c>
      <c r="D314" s="23">
        <f t="shared" si="16"/>
        <v>-97.513206823465325</v>
      </c>
      <c r="E314" s="31">
        <f t="shared" si="19"/>
        <v>-27060.726608646612</v>
      </c>
    </row>
    <row r="315" spans="1:5" s="19" customFormat="1" x14ac:dyDescent="0.2">
      <c r="A315" s="22">
        <v>298</v>
      </c>
      <c r="B315" s="23">
        <f t="shared" si="17"/>
        <v>427.63122662973007</v>
      </c>
      <c r="C315" s="23">
        <f t="shared" si="18"/>
        <v>527.07423915383629</v>
      </c>
      <c r="D315" s="23">
        <f t="shared" si="16"/>
        <v>-99.443012524106209</v>
      </c>
      <c r="E315" s="31">
        <f t="shared" si="19"/>
        <v>-27587.800847800449</v>
      </c>
    </row>
    <row r="316" spans="1:5" s="19" customFormat="1" x14ac:dyDescent="0.2">
      <c r="A316" s="22">
        <v>299</v>
      </c>
      <c r="B316" s="23">
        <f t="shared" si="17"/>
        <v>427.63122662973007</v>
      </c>
      <c r="C316" s="23">
        <f t="shared" si="18"/>
        <v>529.01113652260688</v>
      </c>
      <c r="D316" s="23">
        <f t="shared" si="16"/>
        <v>-101.37990989287682</v>
      </c>
      <c r="E316" s="31">
        <f t="shared" si="19"/>
        <v>-28116.811984323056</v>
      </c>
    </row>
    <row r="317" spans="1:5" s="19" customFormat="1" x14ac:dyDescent="0.2">
      <c r="A317" s="22">
        <v>300</v>
      </c>
      <c r="B317" s="23">
        <f t="shared" si="17"/>
        <v>427.63122662973007</v>
      </c>
      <c r="C317" s="23">
        <f t="shared" si="18"/>
        <v>530.95515162003596</v>
      </c>
      <c r="D317" s="23">
        <f t="shared" si="16"/>
        <v>-103.32392499030588</v>
      </c>
      <c r="E317" s="31">
        <f t="shared" si="19"/>
        <v>-28647.767135943093</v>
      </c>
    </row>
    <row r="318" spans="1:5" s="19" customFormat="1" x14ac:dyDescent="0.2">
      <c r="B318" s="20"/>
      <c r="C318" s="20"/>
      <c r="D318" s="20"/>
      <c r="E318" s="20"/>
    </row>
  </sheetData>
  <conditionalFormatting sqref="A17:A317">
    <cfRule type="expression" dxfId="4" priority="1">
      <formula>E17&lt;-0.01</formula>
    </cfRule>
  </conditionalFormatting>
  <conditionalFormatting sqref="B17:B317">
    <cfRule type="expression" dxfId="3" priority="2">
      <formula>E17&lt;-0.01</formula>
    </cfRule>
  </conditionalFormatting>
  <conditionalFormatting sqref="C17:C317">
    <cfRule type="expression" dxfId="2" priority="3">
      <formula>E17&lt;-0.01</formula>
    </cfRule>
  </conditionalFormatting>
  <conditionalFormatting sqref="D17:D317">
    <cfRule type="expression" dxfId="1" priority="4">
      <formula>E17&lt;-0.01</formula>
    </cfRule>
  </conditionalFormatting>
  <conditionalFormatting sqref="E17:E317">
    <cfRule type="expression" dxfId="0" priority="5">
      <formula>E17&lt;-0.01</formula>
    </cfRule>
  </conditionalFormatting>
  <hyperlinks>
    <hyperlink ref="H4" r:id="rId1" xr:uid="{EE6F3334-624D-4B7D-9D97-A549C8EE2190}"/>
    <hyperlink ref="H5" r:id="rId2" xr:uid="{9BCBEDF5-F0D8-4E59-9DFC-BABFA64D4E21}"/>
    <hyperlink ref="H7" r:id="rId3" xr:uid="{29062ECA-474F-4565-AA86-725D805FC82F}"/>
    <hyperlink ref="H6" r:id="rId4" xr:uid="{79479D46-D09A-458A-B5F4-1CFF52DB414F}"/>
    <hyperlink ref="H8" r:id="rId5" xr:uid="{2A70A4C9-058A-43B5-AC27-5A0F5EAD4036}"/>
    <hyperlink ref="H9" r:id="rId6" display="BNP Paribas Forts" xr:uid="{A3DAA251-97AF-4426-899A-74BEE7B655D5}"/>
    <hyperlink ref="H12" r:id="rId7" xr:uid="{719E5495-6297-4899-8574-ADA5A7E460A5}"/>
  </hyperlinks>
  <pageMargins left="0.7" right="0.7" top="0.75" bottom="0.75" header="0.3" footer="0.3"/>
  <pageSetup paperSize="9" scale="40" orientation="portrait"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8025B02B590F444A9070FF0E01E3BEF" ma:contentTypeVersion="19" ma:contentTypeDescription="Een nieuw document maken." ma:contentTypeScope="" ma:versionID="280739a7d2e2aec0323625299d0476c7">
  <xsd:schema xmlns:xsd="http://www.w3.org/2001/XMLSchema" xmlns:xs="http://www.w3.org/2001/XMLSchema" xmlns:p="http://schemas.microsoft.com/office/2006/metadata/properties" xmlns:ns2="db495832-ced2-46d1-8481-087649143295" xmlns:ns3="80089e56-a9d8-4eab-b356-dfbdb8e15f0b" targetNamespace="http://schemas.microsoft.com/office/2006/metadata/properties" ma:root="true" ma:fieldsID="05169ed422ee82c70267144ae59d0556" ns2:_="" ns3:_="">
    <xsd:import namespace="db495832-ced2-46d1-8481-087649143295"/>
    <xsd:import namespace="80089e56-a9d8-4eab-b356-dfbdb8e15f0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Jaartal" minOccurs="0"/>
                <xsd:element ref="ns2:MediaServiceLocation" minOccurs="0"/>
                <xsd:element ref="ns2:dossiercode" minOccurs="0"/>
                <xsd:element ref="ns2:Volgordesca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495832-ced2-46d1-8481-0876491432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fbf98b99-9d14-4bb7-a80a-a68d0d5b2d35"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Jaartal" ma:index="20" nillable="true" ma:displayName="Jaartal" ma:format="Dropdown" ma:internalName="Jaartal">
      <xsd:simpleType>
        <xsd:restriction base="dms:Text">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dossiercode" ma:index="22" nillable="true" ma:displayName="dossiercode" ma:description="premiedossier van deze werken" ma:format="Dropdown" ma:internalName="dossiercode">
      <xsd:simpleType>
        <xsd:restriction base="dms:Text">
          <xsd:maxLength value="255"/>
        </xsd:restriction>
      </xsd:simpleType>
    </xsd:element>
    <xsd:element name="Volgordescan" ma:index="23" nillable="true" ma:displayName="Volgorde scan" ma:format="Dropdown" ma:internalName="Volgordescan"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089e56-a9d8-4eab-b356-dfbdb8e15f0b"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39363c8c-a62a-4ee3-a346-54ea4be1dac0}" ma:internalName="TaxCatchAll" ma:showField="CatchAllData" ma:web="80089e56-a9d8-4eab-b356-dfbdb8e15f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b495832-ced2-46d1-8481-087649143295">
      <Terms xmlns="http://schemas.microsoft.com/office/infopath/2007/PartnerControls"/>
    </lcf76f155ced4ddcb4097134ff3c332f>
    <Jaartal xmlns="db495832-ced2-46d1-8481-087649143295" xsi:nil="true"/>
    <dossiercode xmlns="db495832-ced2-46d1-8481-087649143295" xsi:nil="true"/>
    <TaxCatchAll xmlns="80089e56-a9d8-4eab-b356-dfbdb8e15f0b" xsi:nil="true"/>
    <Volgordescan xmlns="db495832-ced2-46d1-8481-0876491432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80E2A3-80D5-4494-8C49-8DDB9E799C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495832-ced2-46d1-8481-087649143295"/>
    <ds:schemaRef ds:uri="80089e56-a9d8-4eab-b356-dfbdb8e15f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ED72D7-369C-4D39-800E-629495356E5C}">
  <ds:schemaRefs>
    <ds:schemaRef ds:uri="http://schemas.microsoft.com/office/2006/metadata/properties"/>
    <ds:schemaRef ds:uri="http://schemas.microsoft.com/office/infopath/2007/PartnerControls"/>
    <ds:schemaRef ds:uri="db495832-ced2-46d1-8481-087649143295"/>
    <ds:schemaRef ds:uri="80089e56-a9d8-4eab-b356-dfbdb8e15f0b"/>
  </ds:schemaRefs>
</ds:datastoreItem>
</file>

<file path=customXml/itemProps3.xml><?xml version="1.0" encoding="utf-8"?>
<ds:datastoreItem xmlns:ds="http://schemas.openxmlformats.org/officeDocument/2006/customXml" ds:itemID="{78494E60-F638-4BEF-A19F-3224FA7337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Handleiding</vt:lpstr>
      <vt:lpstr>Quotiteiten</vt:lpstr>
      <vt:lpstr>Raming</vt:lpstr>
      <vt:lpstr>Berekening</vt:lpstr>
      <vt:lpstr>Matrix kavel</vt:lpstr>
      <vt:lpstr>Aflossing VME MVL_lening 1</vt:lpstr>
      <vt:lpstr>Aflossing VME bank_lening 2</vt:lpstr>
      <vt:lpstr>Aflossing VME bank_lening 3</vt:lpstr>
      <vt:lpstr>'Aflossing VME bank_lening 2'!Afdrukbereik</vt:lpstr>
      <vt:lpstr>'Aflossing VME bank_lening 3'!Afdrukbereik</vt:lpstr>
      <vt:lpstr>'Aflossing VME MVL_lening 1'!Afdrukbereik</vt:lpstr>
      <vt:lpstr>Berekening!Afdrukbereik</vt:lpstr>
      <vt:lpstr>Handleiding!Afdrukbereik</vt:lpstr>
      <vt:lpstr>'Matrix kavel'!Afdrukbereik</vt:lpstr>
      <vt:lpstr>Quotiteiten!Afdrukbereik</vt:lpstr>
      <vt:lpstr>Raming!Afdrukbereik</vt:lpstr>
    </vt:vector>
  </TitlesOfParts>
  <Manager/>
  <Company>Digipolis Antwerpen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Claire Verberck</cp:lastModifiedBy>
  <cp:revision/>
  <dcterms:created xsi:type="dcterms:W3CDTF">2019-09-16T10:43:00Z</dcterms:created>
  <dcterms:modified xsi:type="dcterms:W3CDTF">2025-12-15T10:49:20Z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0x010100B8025B02B590F444A9070FF0E01E3BEF</vt:lpwstr>
  </property>
  <property fmtid="{D5CDD505-2E9C-101B-9397-08002B2CF9AE}" pid="3" name="MediaServiceImageTags">
    <vt:lpwstr/>
  </property>
</Properties>
</file>